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Tom\OneDrive - University College London\RichardP\PaperDraft\"/>
    </mc:Choice>
  </mc:AlternateContent>
  <xr:revisionPtr revIDLastSave="0" documentId="13_ncr:1_{327E7816-2119-4FE6-A4D1-7C5AD8EC8943}" xr6:coauthVersionLast="47" xr6:coauthVersionMax="47" xr10:uidLastSave="{00000000-0000-0000-0000-000000000000}"/>
  <bookViews>
    <workbookView xWindow="-120" yWindow="-120" windowWidth="19440" windowHeight="15000" xr2:uid="{17274AE7-F631-4EE9-ABF7-01C1F8673F99}"/>
  </bookViews>
  <sheets>
    <sheet name="Scheme 1" sheetId="2" r:id="rId1"/>
    <sheet name="Scheme 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" l="1"/>
  <c r="H10" i="2"/>
  <c r="H11" i="2"/>
  <c r="H12" i="2"/>
  <c r="H13" i="2"/>
  <c r="H14" i="2"/>
  <c r="H15" i="2"/>
  <c r="H16" i="2"/>
  <c r="H17" i="2"/>
  <c r="H8" i="2"/>
  <c r="G9" i="2"/>
  <c r="G10" i="2"/>
  <c r="G11" i="2"/>
  <c r="G12" i="2"/>
  <c r="G13" i="2"/>
  <c r="G14" i="2"/>
  <c r="G15" i="2"/>
  <c r="G16" i="2"/>
  <c r="G17" i="2"/>
  <c r="G8" i="2"/>
  <c r="I25" i="2" l="1"/>
  <c r="I26" i="2"/>
  <c r="I27" i="2"/>
  <c r="I28" i="2"/>
  <c r="I29" i="2"/>
  <c r="I30" i="2"/>
  <c r="I24" i="2"/>
  <c r="B33" i="1" l="1"/>
  <c r="H32" i="1"/>
  <c r="B32" i="1"/>
  <c r="B28" i="1"/>
  <c r="C25" i="1"/>
  <c r="D25" i="1" s="1"/>
  <c r="C24" i="1"/>
  <c r="C23" i="1"/>
  <c r="C22" i="1"/>
  <c r="B20" i="1"/>
  <c r="B19" i="1"/>
  <c r="B18" i="1"/>
  <c r="B17" i="1"/>
  <c r="B16" i="1"/>
  <c r="B15" i="1"/>
  <c r="B14" i="1"/>
  <c r="B13" i="1"/>
  <c r="D12" i="1"/>
  <c r="B12" i="1"/>
  <c r="B11" i="1"/>
  <c r="B10" i="1"/>
  <c r="D9" i="1"/>
  <c r="B9" i="1"/>
  <c r="C6" i="1"/>
  <c r="D6" i="1" s="1"/>
  <c r="C5" i="1"/>
  <c r="C4" i="1"/>
  <c r="C3" i="1"/>
  <c r="H12" i="1" l="1"/>
  <c r="G34" i="1"/>
  <c r="G27" i="1"/>
  <c r="H28" i="1"/>
  <c r="I20" i="1"/>
  <c r="G8" i="1"/>
  <c r="G31" i="1"/>
  <c r="H34" i="1"/>
  <c r="H27" i="1"/>
  <c r="I28" i="1"/>
  <c r="H31" i="1"/>
  <c r="I34" i="1"/>
  <c r="I27" i="1"/>
  <c r="I29" i="1"/>
  <c r="G33" i="1"/>
  <c r="G30" i="1"/>
  <c r="G32" i="1"/>
  <c r="H33" i="1"/>
  <c r="G29" i="1"/>
  <c r="H30" i="1"/>
  <c r="I31" i="1"/>
  <c r="I32" i="1"/>
  <c r="I33" i="1"/>
  <c r="G28" i="1"/>
  <c r="H29" i="1"/>
  <c r="I30" i="1"/>
  <c r="I9" i="1"/>
  <c r="H11" i="1"/>
  <c r="H14" i="1"/>
  <c r="I17" i="1"/>
  <c r="I11" i="1"/>
  <c r="G12" i="1"/>
  <c r="I14" i="1"/>
  <c r="H15" i="1"/>
  <c r="G16" i="1"/>
  <c r="I18" i="1"/>
  <c r="H19" i="1"/>
  <c r="G20" i="1"/>
  <c r="I10" i="1"/>
  <c r="I13" i="1"/>
  <c r="G19" i="1"/>
  <c r="H8" i="1"/>
  <c r="G9" i="1"/>
  <c r="G10" i="1"/>
  <c r="G13" i="1"/>
  <c r="I15" i="1"/>
  <c r="H16" i="1"/>
  <c r="G17" i="1"/>
  <c r="I19" i="1"/>
  <c r="H20" i="1"/>
  <c r="G15" i="1"/>
  <c r="H18" i="1"/>
  <c r="I8" i="1"/>
  <c r="H9" i="1"/>
  <c r="H10" i="1"/>
  <c r="G11" i="1"/>
  <c r="I12" i="1"/>
  <c r="H13" i="1"/>
  <c r="G14" i="1"/>
  <c r="I16" i="1"/>
  <c r="H17" i="1"/>
  <c r="G18" i="1"/>
</calcChain>
</file>

<file path=xl/sharedStrings.xml><?xml version="1.0" encoding="utf-8"?>
<sst xmlns="http://schemas.openxmlformats.org/spreadsheetml/2006/main" count="56" uniqueCount="21">
  <si>
    <t>CAF1361</t>
  </si>
  <si>
    <t>[TMB]</t>
  </si>
  <si>
    <t>[phenylacetic acid]</t>
  </si>
  <si>
    <t>[2-aminopyridine]</t>
  </si>
  <si>
    <t>[B(OCH2CF3)3]</t>
  </si>
  <si>
    <t>time h</t>
  </si>
  <si>
    <t>integral Acid</t>
  </si>
  <si>
    <t>integral amine</t>
  </si>
  <si>
    <t>integral IS</t>
  </si>
  <si>
    <t>integral Product</t>
  </si>
  <si>
    <t>[acid]</t>
  </si>
  <si>
    <t>[P]</t>
  </si>
  <si>
    <t>CAF1356</t>
  </si>
  <si>
    <t>[BzOH]</t>
  </si>
  <si>
    <t>[Amine]</t>
  </si>
  <si>
    <t>2.5 mol%</t>
  </si>
  <si>
    <t>integral BzOH</t>
  </si>
  <si>
    <t>[Product]</t>
  </si>
  <si>
    <t>CAF1143 hood</t>
  </si>
  <si>
    <t>10 mol%</t>
  </si>
  <si>
    <t>[o-ClC6H4B(OH)2]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</si>
</sst>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8999908444471571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0" fillId="2" borderId="9" xfId="0" applyFill="1" applyBorder="1"/>
    <xf numFmtId="0" fontId="1" fillId="3" borderId="1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" xfId="0" applyFont="1" applyFill="1" applyBorder="1"/>
    <xf numFmtId="0" fontId="0" fillId="3" borderId="3" xfId="0" applyFill="1" applyBorder="1"/>
    <xf numFmtId="0" fontId="0" fillId="3" borderId="2" xfId="0" applyFill="1" applyBorder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5" xfId="0" applyFont="1" applyFill="1" applyBorder="1"/>
    <xf numFmtId="0" fontId="0" fillId="2" borderId="13" xfId="0" applyFill="1" applyBorder="1"/>
    <xf numFmtId="0" fontId="0" fillId="2" borderId="14" xfId="0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0" fillId="3" borderId="9" xfId="0" applyFill="1" applyBorder="1"/>
    <xf numFmtId="0" fontId="0" fillId="2" borderId="4" xfId="0" applyFill="1" applyBorder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0" fillId="4" borderId="9" xfId="0" applyFill="1" applyBorder="1"/>
    <xf numFmtId="0" fontId="0" fillId="4" borderId="0" xfId="0" applyFill="1" applyAlignment="1">
      <alignment horizontal="center"/>
    </xf>
    <xf numFmtId="0" fontId="0" fillId="4" borderId="11" xfId="0" applyFill="1" applyBorder="1"/>
    <xf numFmtId="0" fontId="0" fillId="4" borderId="4" xfId="0" applyFill="1" applyBorder="1" applyAlignment="1">
      <alignment horizontal="center"/>
    </xf>
    <xf numFmtId="0" fontId="0" fillId="3" borderId="1" xfId="0" applyFill="1" applyBorder="1"/>
    <xf numFmtId="0" fontId="0" fillId="2" borderId="11" xfId="0" applyFill="1" applyBorder="1"/>
    <xf numFmtId="0" fontId="1" fillId="2" borderId="7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7" xfId="0" applyFont="1" applyFill="1" applyBorder="1" applyAlignment="1"/>
    <xf numFmtId="0" fontId="0" fillId="3" borderId="0" xfId="0" applyFill="1" applyAlignment="1"/>
    <xf numFmtId="0" fontId="0" fillId="3" borderId="3" xfId="0" applyFill="1" applyBorder="1" applyAlignment="1"/>
    <xf numFmtId="0" fontId="0" fillId="3" borderId="4" xfId="0" applyFill="1" applyBorder="1" applyAlignment="1"/>
    <xf numFmtId="0" fontId="0" fillId="3" borderId="5" xfId="0" applyFill="1" applyBorder="1" applyAlignment="1"/>
    <xf numFmtId="0" fontId="1" fillId="2" borderId="1" xfId="0" applyFont="1" applyFill="1" applyBorder="1" applyAlignment="1"/>
    <xf numFmtId="0" fontId="0" fillId="2" borderId="2" xfId="0" applyFill="1" applyBorder="1" applyAlignment="1"/>
    <xf numFmtId="0" fontId="1" fillId="2" borderId="0" xfId="0" applyFont="1" applyFill="1" applyAlignment="1"/>
    <xf numFmtId="0" fontId="0" fillId="2" borderId="3" xfId="0" applyFill="1" applyBorder="1" applyAlignment="1"/>
    <xf numFmtId="0" fontId="1" fillId="4" borderId="0" xfId="0" applyFont="1" applyFill="1" applyAlignment="1"/>
    <xf numFmtId="0" fontId="1" fillId="2" borderId="6" xfId="0" applyFont="1" applyFill="1" applyBorder="1" applyAlignment="1"/>
    <xf numFmtId="0" fontId="0" fillId="2" borderId="0" xfId="0" applyFill="1" applyAlignment="1"/>
    <xf numFmtId="0" fontId="0" fillId="2" borderId="4" xfId="0" applyFill="1" applyBorder="1" applyAlignment="1"/>
    <xf numFmtId="0" fontId="0" fillId="2" borderId="5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013648293963254"/>
          <c:y val="4.6296296296296294E-2"/>
          <c:w val="0.72108573928258968"/>
          <c:h val="0.74350320793234181"/>
        </c:manualLayout>
      </c:layout>
      <c:scatterChart>
        <c:scatterStyle val="lineMarker"/>
        <c:varyColors val="0"/>
        <c:ser>
          <c:idx val="2"/>
          <c:order val="0"/>
          <c:spPr>
            <a:ln w="19050">
              <a:noFill/>
            </a:ln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</c:spPr>
          </c:marker>
          <c:xVal>
            <c:numRef>
              <c:f>'Scheme 1'!$B$8:$B$17</c:f>
              <c:numCache>
                <c:formatCode>General</c:formatCode>
                <c:ptCount val="10"/>
                <c:pt idx="0">
                  <c:v>2.9508196721311476E-2</c:v>
                </c:pt>
                <c:pt idx="1">
                  <c:v>2.25</c:v>
                </c:pt>
                <c:pt idx="2">
                  <c:v>15.8</c:v>
                </c:pt>
                <c:pt idx="3">
                  <c:v>21.416666666666668</c:v>
                </c:pt>
                <c:pt idx="4">
                  <c:v>26.35</c:v>
                </c:pt>
                <c:pt idx="5">
                  <c:v>39.533333333333331</c:v>
                </c:pt>
                <c:pt idx="6">
                  <c:v>44.783333333333331</c:v>
                </c:pt>
                <c:pt idx="7">
                  <c:v>50.25</c:v>
                </c:pt>
                <c:pt idx="8">
                  <c:v>63.8</c:v>
                </c:pt>
                <c:pt idx="9">
                  <c:v>69.5</c:v>
                </c:pt>
              </c:numCache>
            </c:numRef>
          </c:xVal>
          <c:yVal>
            <c:numRef>
              <c:f>'Scheme 1'!$I$8:$I$17</c:f>
              <c:numCache>
                <c:formatCode>General</c:formatCode>
                <c:ptCount val="10"/>
                <c:pt idx="0">
                  <c:v>0</c:v>
                </c:pt>
                <c:pt idx="1">
                  <c:v>6.5399062500000014E-3</c:v>
                </c:pt>
                <c:pt idx="2">
                  <c:v>3.5949174107142864E-2</c:v>
                </c:pt>
                <c:pt idx="3">
                  <c:v>5.4417977678571428E-2</c:v>
                </c:pt>
                <c:pt idx="4">
                  <c:v>6.8608084821428578E-2</c:v>
                </c:pt>
                <c:pt idx="5">
                  <c:v>0.10182214285714286</c:v>
                </c:pt>
                <c:pt idx="6">
                  <c:v>0.1159580892857143</c:v>
                </c:pt>
                <c:pt idx="7">
                  <c:v>0.13085228571428573</c:v>
                </c:pt>
                <c:pt idx="8">
                  <c:v>0.15839300892857144</c:v>
                </c:pt>
                <c:pt idx="9">
                  <c:v>0.17962400892857147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529-4EBD-9F7C-59375753396A}"/>
            </c:ext>
          </c:extLst>
        </c:ser>
        <c:ser>
          <c:idx val="3"/>
          <c:order val="1"/>
          <c:spPr>
            <a:ln w="19050">
              <a:noFill/>
            </a:ln>
          </c:spPr>
          <c:marker>
            <c:symbol val="square"/>
            <c:size val="3"/>
            <c:spPr>
              <a:noFill/>
              <a:ln w="9525">
                <a:solidFill>
                  <a:schemeClr val="accent1"/>
                </a:solidFill>
              </a:ln>
            </c:spPr>
          </c:marker>
          <c:xVal>
            <c:numRef>
              <c:f>'Scheme 1'!$B$8:$B$17</c:f>
              <c:numCache>
                <c:formatCode>General</c:formatCode>
                <c:ptCount val="10"/>
                <c:pt idx="0">
                  <c:v>2.9508196721311476E-2</c:v>
                </c:pt>
                <c:pt idx="1">
                  <c:v>2.25</c:v>
                </c:pt>
                <c:pt idx="2">
                  <c:v>15.8</c:v>
                </c:pt>
                <c:pt idx="3">
                  <c:v>21.416666666666668</c:v>
                </c:pt>
                <c:pt idx="4">
                  <c:v>26.35</c:v>
                </c:pt>
                <c:pt idx="5">
                  <c:v>39.533333333333331</c:v>
                </c:pt>
                <c:pt idx="6">
                  <c:v>44.783333333333331</c:v>
                </c:pt>
                <c:pt idx="7">
                  <c:v>50.25</c:v>
                </c:pt>
                <c:pt idx="8">
                  <c:v>63.8</c:v>
                </c:pt>
                <c:pt idx="9">
                  <c:v>69.5</c:v>
                </c:pt>
              </c:numCache>
            </c:numRef>
          </c:xVal>
          <c:yVal>
            <c:numRef>
              <c:f>'Scheme 1'!$G$8:$G$17</c:f>
              <c:numCache>
                <c:formatCode>General</c:formatCode>
                <c:ptCount val="10"/>
                <c:pt idx="0">
                  <c:v>0.50216460267857155</c:v>
                </c:pt>
                <c:pt idx="1">
                  <c:v>0.49623400446428578</c:v>
                </c:pt>
                <c:pt idx="2">
                  <c:v>0.4733104821428572</c:v>
                </c:pt>
                <c:pt idx="3">
                  <c:v>0.4539615669642858</c:v>
                </c:pt>
                <c:pt idx="4">
                  <c:v>0.44008288392857148</c:v>
                </c:pt>
                <c:pt idx="5">
                  <c:v>0.40635429910714294</c:v>
                </c:pt>
                <c:pt idx="6">
                  <c:v>0.38978112053571429</c:v>
                </c:pt>
                <c:pt idx="7">
                  <c:v>0.37559101339285716</c:v>
                </c:pt>
                <c:pt idx="8">
                  <c:v>0.34363619196428574</c:v>
                </c:pt>
                <c:pt idx="9">
                  <c:v>0.32236457142857144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529-4EBD-9F7C-59375753396A}"/>
            </c:ext>
          </c:extLst>
        </c:ser>
        <c:ser>
          <c:idx val="0"/>
          <c:order val="2"/>
          <c:spPr>
            <a:ln w="19050">
              <a:noFill/>
            </a:ln>
          </c:spPr>
          <c:marker>
            <c:symbol val="diamond"/>
            <c:size val="3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'Scheme 1'!$B$24:$B$30</c:f>
              <c:numCache>
                <c:formatCode>General</c:formatCode>
                <c:ptCount val="7"/>
                <c:pt idx="0">
                  <c:v>1.6666666666666666E-2</c:v>
                </c:pt>
                <c:pt idx="1">
                  <c:v>3.9166666666666665</c:v>
                </c:pt>
                <c:pt idx="2">
                  <c:v>18.283333333333335</c:v>
                </c:pt>
                <c:pt idx="3">
                  <c:v>21.916666666666668</c:v>
                </c:pt>
                <c:pt idx="4">
                  <c:v>24.95</c:v>
                </c:pt>
                <c:pt idx="5">
                  <c:v>28.9</c:v>
                </c:pt>
                <c:pt idx="6">
                  <c:v>42.283333333333331</c:v>
                </c:pt>
              </c:numCache>
            </c:numRef>
          </c:xVal>
          <c:yVal>
            <c:numRef>
              <c:f>'Scheme 1'!$I$24:$I$30</c:f>
              <c:numCache>
                <c:formatCode>General</c:formatCode>
                <c:ptCount val="7"/>
                <c:pt idx="0">
                  <c:v>0</c:v>
                </c:pt>
                <c:pt idx="1">
                  <c:v>3.0552678571428571E-2</c:v>
                </c:pt>
                <c:pt idx="2">
                  <c:v>0.12060267857142858</c:v>
                </c:pt>
                <c:pt idx="3">
                  <c:v>0.14954732142857144</c:v>
                </c:pt>
                <c:pt idx="4">
                  <c:v>0.17045178571428571</c:v>
                </c:pt>
                <c:pt idx="5">
                  <c:v>0.18653214285714284</c:v>
                </c:pt>
                <c:pt idx="6">
                  <c:v>0.2492455357142857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529-4EBD-9F7C-59375753396A}"/>
            </c:ext>
          </c:extLst>
        </c:ser>
        <c:ser>
          <c:idx val="1"/>
          <c:order val="3"/>
          <c:spPr>
            <a:ln w="19050">
              <a:noFill/>
            </a:ln>
          </c:spPr>
          <c:marker>
            <c:symbol val="triangle"/>
            <c:size val="3"/>
            <c:spPr>
              <a:noFill/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'Scheme 1'!$B$24:$B$30</c:f>
              <c:numCache>
                <c:formatCode>General</c:formatCode>
                <c:ptCount val="7"/>
                <c:pt idx="0">
                  <c:v>1.6666666666666666E-2</c:v>
                </c:pt>
                <c:pt idx="1">
                  <c:v>3.9166666666666665</c:v>
                </c:pt>
                <c:pt idx="2">
                  <c:v>18.283333333333335</c:v>
                </c:pt>
                <c:pt idx="3">
                  <c:v>21.916666666666668</c:v>
                </c:pt>
                <c:pt idx="4">
                  <c:v>24.95</c:v>
                </c:pt>
                <c:pt idx="5">
                  <c:v>28.9</c:v>
                </c:pt>
                <c:pt idx="6">
                  <c:v>42.283333333333331</c:v>
                </c:pt>
              </c:numCache>
            </c:numRef>
          </c:xVal>
          <c:yVal>
            <c:numRef>
              <c:f>'Scheme 1'!$G$24:$G$30</c:f>
              <c:numCache>
                <c:formatCode>General</c:formatCode>
                <c:ptCount val="7"/>
                <c:pt idx="0">
                  <c:v>0.5000991071428571</c:v>
                </c:pt>
                <c:pt idx="1">
                  <c:v>0.47276249999999997</c:v>
                </c:pt>
                <c:pt idx="2">
                  <c:v>0.35859196428571427</c:v>
                </c:pt>
                <c:pt idx="3">
                  <c:v>0.33286339285714284</c:v>
                </c:pt>
                <c:pt idx="4">
                  <c:v>0.31356696428571429</c:v>
                </c:pt>
                <c:pt idx="5">
                  <c:v>0.2894464285714286</c:v>
                </c:pt>
                <c:pt idx="6">
                  <c:v>0.23316517857142854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529-4EBD-9F7C-593757533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0339520"/>
        <c:axId val="1542654304"/>
      </c:scatterChart>
      <c:valAx>
        <c:axId val="1830339520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/ 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2654304"/>
        <c:crosses val="autoZero"/>
        <c:crossBetween val="midCat"/>
      </c:valAx>
      <c:valAx>
        <c:axId val="1542654304"/>
        <c:scaling>
          <c:orientation val="minMax"/>
          <c:max val="0.51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[conc] /</a:t>
                </a:r>
                <a:r>
                  <a:rPr lang="es-ES" baseline="0"/>
                  <a:t> M</a:t>
                </a:r>
                <a:endParaRPr lang="es-E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0339520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2"/>
          <c:order val="0"/>
          <c:tx>
            <c:strRef>
              <c:f>'Scheme 2'!$G$7</c:f>
              <c:strCache>
                <c:ptCount val="1"/>
                <c:pt idx="0">
                  <c:v>[acid]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3"/>
            <c:spPr>
              <a:noFill/>
              <a:ln w="9525">
                <a:solidFill>
                  <a:schemeClr val="accent1"/>
                </a:solidFill>
              </a:ln>
            </c:spPr>
          </c:marker>
          <c:xVal>
            <c:numRef>
              <c:f>'Scheme 2'!$B$8:$B$20</c:f>
              <c:numCache>
                <c:formatCode>General</c:formatCode>
                <c:ptCount val="13"/>
                <c:pt idx="0">
                  <c:v>2.5000000000000001E-2</c:v>
                </c:pt>
                <c:pt idx="1">
                  <c:v>1.2166666666666668</c:v>
                </c:pt>
                <c:pt idx="2">
                  <c:v>2.8833333333333333</c:v>
                </c:pt>
                <c:pt idx="3">
                  <c:v>4.4333333333333336</c:v>
                </c:pt>
                <c:pt idx="4">
                  <c:v>6.55</c:v>
                </c:pt>
                <c:pt idx="5">
                  <c:v>8.0833333333333339</c:v>
                </c:pt>
                <c:pt idx="6">
                  <c:v>22.516666666666666</c:v>
                </c:pt>
                <c:pt idx="7">
                  <c:v>26.133333333333333</c:v>
                </c:pt>
                <c:pt idx="8">
                  <c:v>30.116666666666667</c:v>
                </c:pt>
                <c:pt idx="9">
                  <c:v>33.733333333333334</c:v>
                </c:pt>
                <c:pt idx="10">
                  <c:v>46.75</c:v>
                </c:pt>
                <c:pt idx="11">
                  <c:v>51.583333333333336</c:v>
                </c:pt>
                <c:pt idx="12">
                  <c:v>55.266666666666666</c:v>
                </c:pt>
              </c:numCache>
            </c:numRef>
          </c:xVal>
          <c:yVal>
            <c:numRef>
              <c:f>'Scheme 2'!$G$8:$G$20</c:f>
              <c:numCache>
                <c:formatCode>General</c:formatCode>
                <c:ptCount val="13"/>
                <c:pt idx="0">
                  <c:v>0.45031629107142862</c:v>
                </c:pt>
                <c:pt idx="1">
                  <c:v>0.44825100669642859</c:v>
                </c:pt>
                <c:pt idx="2">
                  <c:v>0.42986014107142867</c:v>
                </c:pt>
                <c:pt idx="3">
                  <c:v>0.42468990535714291</c:v>
                </c:pt>
                <c:pt idx="4">
                  <c:v>0.41672380848214291</c:v>
                </c:pt>
                <c:pt idx="5">
                  <c:v>0.40480978705357146</c:v>
                </c:pt>
                <c:pt idx="6">
                  <c:v>0.33650085758928572</c:v>
                </c:pt>
                <c:pt idx="7">
                  <c:v>0.32561245357142865</c:v>
                </c:pt>
                <c:pt idx="8">
                  <c:v>0.30292242455357143</c:v>
                </c:pt>
                <c:pt idx="9">
                  <c:v>0.29216046651785715</c:v>
                </c:pt>
                <c:pt idx="10">
                  <c:v>0.27138117678571427</c:v>
                </c:pt>
                <c:pt idx="11">
                  <c:v>0.2550696450892857</c:v>
                </c:pt>
                <c:pt idx="12">
                  <c:v>0.24493991696428574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95C-4F64-B644-5F0B0DFBA5E7}"/>
            </c:ext>
          </c:extLst>
        </c:ser>
        <c:ser>
          <c:idx val="3"/>
          <c:order val="1"/>
          <c:spPr>
            <a:ln w="25400">
              <a:noFill/>
            </a:ln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</c:spPr>
          </c:marker>
          <c:xVal>
            <c:numRef>
              <c:f>'Scheme 2'!$B$8:$B$20</c:f>
              <c:numCache>
                <c:formatCode>General</c:formatCode>
                <c:ptCount val="13"/>
                <c:pt idx="0">
                  <c:v>2.5000000000000001E-2</c:v>
                </c:pt>
                <c:pt idx="1">
                  <c:v>1.2166666666666668</c:v>
                </c:pt>
                <c:pt idx="2">
                  <c:v>2.8833333333333333</c:v>
                </c:pt>
                <c:pt idx="3">
                  <c:v>4.4333333333333336</c:v>
                </c:pt>
                <c:pt idx="4">
                  <c:v>6.55</c:v>
                </c:pt>
                <c:pt idx="5">
                  <c:v>8.0833333333333339</c:v>
                </c:pt>
                <c:pt idx="6">
                  <c:v>22.516666666666666</c:v>
                </c:pt>
                <c:pt idx="7">
                  <c:v>26.133333333333333</c:v>
                </c:pt>
                <c:pt idx="8">
                  <c:v>30.116666666666667</c:v>
                </c:pt>
                <c:pt idx="9">
                  <c:v>33.733333333333334</c:v>
                </c:pt>
                <c:pt idx="10">
                  <c:v>46.75</c:v>
                </c:pt>
                <c:pt idx="11">
                  <c:v>51.583333333333336</c:v>
                </c:pt>
                <c:pt idx="12">
                  <c:v>55.266666666666666</c:v>
                </c:pt>
              </c:numCache>
            </c:numRef>
          </c:xVal>
          <c:yVal>
            <c:numRef>
              <c:f>'Scheme 2'!$I$8:$I$20</c:f>
              <c:numCache>
                <c:formatCode>General</c:formatCode>
                <c:ptCount val="13"/>
                <c:pt idx="0">
                  <c:v>0</c:v>
                </c:pt>
                <c:pt idx="1">
                  <c:v>1.6016491071428572E-3</c:v>
                </c:pt>
                <c:pt idx="2">
                  <c:v>3.4842892857142862E-3</c:v>
                </c:pt>
                <c:pt idx="3">
                  <c:v>1.7702437500000005E-2</c:v>
                </c:pt>
                <c:pt idx="4">
                  <c:v>2.7818116071428575E-2</c:v>
                </c:pt>
                <c:pt idx="5">
                  <c:v>3.2032982142857144E-2</c:v>
                </c:pt>
                <c:pt idx="6">
                  <c:v>8.2442780357142864E-2</c:v>
                </c:pt>
                <c:pt idx="7">
                  <c:v>0.10832205803571429</c:v>
                </c:pt>
                <c:pt idx="8">
                  <c:v>0.12346747678571431</c:v>
                </c:pt>
                <c:pt idx="9">
                  <c:v>0.14114181517857144</c:v>
                </c:pt>
                <c:pt idx="10">
                  <c:v>0.18354336785714287</c:v>
                </c:pt>
                <c:pt idx="11">
                  <c:v>0.20374662589285714</c:v>
                </c:pt>
                <c:pt idx="12">
                  <c:v>0.21018132142857143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95C-4F64-B644-5F0B0DFBA5E7}"/>
            </c:ext>
          </c:extLst>
        </c:ser>
        <c:ser>
          <c:idx val="0"/>
          <c:order val="2"/>
          <c:tx>
            <c:strRef>
              <c:f>'Scheme 2'!$G$7</c:f>
              <c:strCache>
                <c:ptCount val="1"/>
                <c:pt idx="0">
                  <c:v>[acid]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3"/>
            <c:spPr>
              <a:noFill/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'Scheme 2'!$B$27:$B$34</c:f>
              <c:numCache>
                <c:formatCode>General</c:formatCode>
                <c:ptCount val="8"/>
                <c:pt idx="0">
                  <c:v>2.5000000000000001E-2</c:v>
                </c:pt>
                <c:pt idx="1">
                  <c:v>1.2333333333333334</c:v>
                </c:pt>
                <c:pt idx="2">
                  <c:v>5</c:v>
                </c:pt>
                <c:pt idx="3">
                  <c:v>19.5</c:v>
                </c:pt>
                <c:pt idx="4">
                  <c:v>23</c:v>
                </c:pt>
                <c:pt idx="5">
                  <c:v>25.5</c:v>
                </c:pt>
                <c:pt idx="6">
                  <c:v>28</c:v>
                </c:pt>
                <c:pt idx="7">
                  <c:v>43.5</c:v>
                </c:pt>
              </c:numCache>
            </c:numRef>
          </c:xVal>
          <c:yVal>
            <c:numRef>
              <c:f>'Scheme 2'!$G$27:$G$34</c:f>
              <c:numCache>
                <c:formatCode>General</c:formatCode>
                <c:ptCount val="8"/>
                <c:pt idx="0">
                  <c:v>0.49835008928571423</c:v>
                </c:pt>
                <c:pt idx="1">
                  <c:v>0.50147919642857142</c:v>
                </c:pt>
                <c:pt idx="2">
                  <c:v>0.50017982142857143</c:v>
                </c:pt>
                <c:pt idx="3">
                  <c:v>0.48352660714285711</c:v>
                </c:pt>
                <c:pt idx="4">
                  <c:v>0.48145821428571423</c:v>
                </c:pt>
                <c:pt idx="5">
                  <c:v>0.48491879464285714</c:v>
                </c:pt>
                <c:pt idx="6">
                  <c:v>0.48440169642857139</c:v>
                </c:pt>
                <c:pt idx="7">
                  <c:v>0.48033120535714285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95C-4F64-B644-5F0B0DFBA5E7}"/>
            </c:ext>
          </c:extLst>
        </c:ser>
        <c:ser>
          <c:idx val="1"/>
          <c:order val="3"/>
          <c:spPr>
            <a:ln w="25400" cap="rnd">
              <a:noFill/>
              <a:round/>
            </a:ln>
            <a:effectLst/>
          </c:spPr>
          <c:marker>
            <c:symbol val="diamond"/>
            <c:size val="3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'Scheme 2'!$B$27:$B$34</c:f>
              <c:numCache>
                <c:formatCode>General</c:formatCode>
                <c:ptCount val="8"/>
                <c:pt idx="0">
                  <c:v>2.5000000000000001E-2</c:v>
                </c:pt>
                <c:pt idx="1">
                  <c:v>1.2333333333333334</c:v>
                </c:pt>
                <c:pt idx="2">
                  <c:v>5</c:v>
                </c:pt>
                <c:pt idx="3">
                  <c:v>19.5</c:v>
                </c:pt>
                <c:pt idx="4">
                  <c:v>23</c:v>
                </c:pt>
                <c:pt idx="5">
                  <c:v>25.5</c:v>
                </c:pt>
                <c:pt idx="6">
                  <c:v>28</c:v>
                </c:pt>
                <c:pt idx="7">
                  <c:v>43.5</c:v>
                </c:pt>
              </c:numCache>
            </c:numRef>
          </c:xVal>
          <c:yVal>
            <c:numRef>
              <c:f>'Scheme 2'!$I$27:$I$34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95C-4F64-B644-5F0B0DFBA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6907247"/>
        <c:axId val="1421854735"/>
      </c:scatterChart>
      <c:valAx>
        <c:axId val="1106907247"/>
        <c:scaling>
          <c:orientation val="minMax"/>
          <c:max val="8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/ 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1854735"/>
        <c:crosses val="autoZero"/>
        <c:crossBetween val="midCat"/>
      </c:valAx>
      <c:valAx>
        <c:axId val="1421854735"/>
        <c:scaling>
          <c:orientation val="minMax"/>
          <c:max val="0.51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[conc]</a:t>
                </a:r>
                <a:r>
                  <a:rPr lang="es-ES" baseline="0"/>
                  <a:t> / M</a:t>
                </a:r>
                <a:endParaRPr lang="es-E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6907247"/>
        <c:crosses val="autoZero"/>
        <c:crossBetween val="midCat"/>
        <c:majorUnit val="0.1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594448</xdr:colOff>
      <xdr:row>4</xdr:row>
      <xdr:rowOff>64044</xdr:rowOff>
    </xdr:from>
    <xdr:to>
      <xdr:col>17</xdr:col>
      <xdr:colOff>135247</xdr:colOff>
      <xdr:row>18</xdr:row>
      <xdr:rowOff>105924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BDF49C2-5F11-4175-9761-815D779DA1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0.75396</cdr:x>
      <cdr:y>0.24053</cdr:y>
    </cdr:from>
    <cdr:to>
      <cdr:x>0.95563</cdr:x>
      <cdr:y>0.35526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F675408-C69D-466E-871A-3B6EC91E5C7B}"/>
            </a:ext>
          </a:extLst>
        </cdr:cNvPr>
        <cdr:cNvSpPr txBox="1"/>
      </cdr:nvSpPr>
      <cdr:spPr>
        <a:xfrm xmlns:a="http://schemas.openxmlformats.org/drawingml/2006/main">
          <a:off x="3466379" y="658959"/>
          <a:ext cx="927193" cy="314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00" b="1">
              <a:solidFill>
                <a:schemeClr val="accent1"/>
              </a:solidFill>
            </a:rPr>
            <a:t>B(OCH</a:t>
          </a:r>
          <a:r>
            <a:rPr lang="es-ES" sz="1000" b="1" baseline="-2500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s-ES" sz="1000" b="1">
              <a:solidFill>
                <a:schemeClr val="accent1"/>
              </a:solidFill>
            </a:rPr>
            <a:t>CF</a:t>
          </a:r>
          <a:r>
            <a:rPr lang="es-ES" sz="1000" b="1" baseline="-2500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s-ES" sz="1000" b="1">
              <a:solidFill>
                <a:schemeClr val="accent1"/>
              </a:solidFill>
            </a:rPr>
            <a:t>)</a:t>
          </a:r>
          <a:r>
            <a:rPr lang="es-ES" sz="1000" b="1" baseline="-25000">
              <a:solidFill>
                <a:schemeClr val="accent1"/>
              </a:solidFill>
            </a:rPr>
            <a:t>3</a:t>
          </a:r>
        </a:p>
      </cdr:txBody>
    </cdr:sp>
  </cdr:relSizeAnchor>
  <cdr:relSizeAnchor xmlns:cdr="http://schemas.openxmlformats.org/drawingml/2006/chartDrawing">
    <cdr:from>
      <cdr:x>0.68049</cdr:x>
      <cdr:y>0.37703</cdr:y>
    </cdr:from>
    <cdr:to>
      <cdr:x>0.91799</cdr:x>
      <cdr:y>0.49177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82D9E22D-65D9-452C-B90B-F7E837500032}"/>
            </a:ext>
          </a:extLst>
        </cdr:cNvPr>
        <cdr:cNvSpPr txBox="1"/>
      </cdr:nvSpPr>
      <cdr:spPr>
        <a:xfrm xmlns:a="http://schemas.openxmlformats.org/drawingml/2006/main">
          <a:off x="2981730" y="1025554"/>
          <a:ext cx="1040645" cy="312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s-ES" sz="1000" b="1" i="0" baseline="0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2-ClC6H4B(OH)</a:t>
          </a:r>
          <a:r>
            <a:rPr lang="es-ES" sz="1000" b="1" i="0" baseline="-25000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2</a:t>
          </a:r>
          <a:endParaRPr lang="es-ES" sz="1000" b="1">
            <a:solidFill>
              <a:schemeClr val="accent5"/>
            </a:solidFill>
            <a:effectLst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31132</xdr:colOff>
      <xdr:row>4</xdr:row>
      <xdr:rowOff>102167</xdr:rowOff>
    </xdr:from>
    <xdr:to>
      <xdr:col>17</xdr:col>
      <xdr:colOff>316879</xdr:colOff>
      <xdr:row>18</xdr:row>
      <xdr:rowOff>167162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3438BE6-F606-4DA3-9BC5-5C5E3A0C30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0.77194</cdr:x>
      <cdr:y>0.43026</cdr:y>
    </cdr:from>
    <cdr:to>
      <cdr:x>0.97342</cdr:x>
      <cdr:y>0.54499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EEDB6590-01EE-4DB5-981C-F777CDFA8352}"/>
            </a:ext>
          </a:extLst>
        </cdr:cNvPr>
        <cdr:cNvSpPr txBox="1"/>
      </cdr:nvSpPr>
      <cdr:spPr>
        <a:xfrm xmlns:a="http://schemas.openxmlformats.org/drawingml/2006/main">
          <a:off x="3532507" y="1180289"/>
          <a:ext cx="922001" cy="3147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000" b="1">
              <a:solidFill>
                <a:schemeClr val="accent1"/>
              </a:solidFill>
            </a:rPr>
            <a:t>B(OCH</a:t>
          </a:r>
          <a:r>
            <a:rPr lang="es-ES" sz="1000" b="1" baseline="-2500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s-ES" sz="1000" b="1">
              <a:solidFill>
                <a:schemeClr val="accent1"/>
              </a:solidFill>
            </a:rPr>
            <a:t>CF</a:t>
          </a:r>
          <a:r>
            <a:rPr lang="es-ES" sz="1000" b="1" baseline="-2500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s-ES" sz="1000" b="1">
              <a:solidFill>
                <a:schemeClr val="accent1"/>
              </a:solidFill>
            </a:rPr>
            <a:t>)</a:t>
          </a:r>
          <a:r>
            <a:rPr lang="es-ES" sz="1000" b="1" baseline="-25000">
              <a:solidFill>
                <a:schemeClr val="accent1"/>
              </a:solidFill>
            </a:rPr>
            <a:t>3</a:t>
          </a:r>
        </a:p>
      </cdr:txBody>
    </cdr:sp>
  </cdr:relSizeAnchor>
  <cdr:relSizeAnchor xmlns:cdr="http://schemas.openxmlformats.org/drawingml/2006/chartDrawing">
    <cdr:from>
      <cdr:x>0.66211</cdr:x>
      <cdr:y>0.03964</cdr:y>
    </cdr:from>
    <cdr:to>
      <cdr:x>0.91753</cdr:x>
      <cdr:y>0.15438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9669B2C3-2FFE-4E13-A29E-3904AD7314A9}"/>
            </a:ext>
          </a:extLst>
        </cdr:cNvPr>
        <cdr:cNvSpPr txBox="1"/>
      </cdr:nvSpPr>
      <cdr:spPr>
        <a:xfrm xmlns:a="http://schemas.openxmlformats.org/drawingml/2006/main">
          <a:off x="2993776" y="108296"/>
          <a:ext cx="1154885" cy="313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s-ES" sz="1000" b="1" i="0" baseline="0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2-ClC6H4B(OH)</a:t>
          </a:r>
          <a:r>
            <a:rPr lang="es-ES" sz="1000" b="1" i="0" baseline="-25000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2</a:t>
          </a:r>
          <a:endParaRPr lang="es-ES" sz="1000" b="1">
            <a:solidFill>
              <a:schemeClr val="accent5"/>
            </a:solidFill>
            <a:effectLst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JB ICIQ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CC0033"/>
      </a:accent1>
      <a:accent2>
        <a:srgbClr val="EE990A"/>
      </a:accent2>
      <a:accent3>
        <a:srgbClr val="008C62"/>
      </a:accent3>
      <a:accent4>
        <a:srgbClr val="66A40A"/>
      </a:accent4>
      <a:accent5>
        <a:srgbClr val="003E8B"/>
      </a:accent5>
      <a:accent6>
        <a:srgbClr val="002C5B"/>
      </a:accent6>
      <a:hlink>
        <a:srgbClr val="969696"/>
      </a:hlink>
      <a:folHlink>
        <a:srgbClr val="6E6E6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F1DD1-B10E-4309-8E7B-C7C2D15C3C19}">
  <dimension ref="B1:I30"/>
  <sheetViews>
    <sheetView tabSelected="1" zoomScale="85" zoomScaleNormal="85" workbookViewId="0">
      <selection activeCell="J22" sqref="J22"/>
    </sheetView>
  </sheetViews>
  <sheetFormatPr defaultRowHeight="15" x14ac:dyDescent="0.25"/>
  <cols>
    <col min="1" max="1" width="6.85546875" customWidth="1"/>
    <col min="2" max="2" width="16.85546875" customWidth="1"/>
    <col min="4" max="4" width="14.85546875" bestFit="1" customWidth="1"/>
  </cols>
  <sheetData>
    <row r="1" spans="2:9" ht="15.75" thickBot="1" x14ac:dyDescent="0.3">
      <c r="B1" s="32" t="s">
        <v>15</v>
      </c>
    </row>
    <row r="2" spans="2:9" x14ac:dyDescent="0.25">
      <c r="B2" s="12" t="s">
        <v>18</v>
      </c>
      <c r="C2" s="38"/>
      <c r="D2" s="38"/>
      <c r="E2" s="38"/>
      <c r="F2" s="38"/>
      <c r="G2" s="38"/>
      <c r="H2" s="38"/>
      <c r="I2" s="15"/>
    </row>
    <row r="3" spans="2:9" x14ac:dyDescent="0.25">
      <c r="B3" s="7" t="s">
        <v>1</v>
      </c>
      <c r="C3" s="17">
        <v>9.026785714285715E-2</v>
      </c>
      <c r="D3" s="17"/>
      <c r="E3" s="18"/>
      <c r="F3" s="18"/>
      <c r="G3" s="18"/>
      <c r="H3" s="18"/>
      <c r="I3" s="10"/>
    </row>
    <row r="4" spans="2:9" x14ac:dyDescent="0.25">
      <c r="B4" s="7" t="s">
        <v>13</v>
      </c>
      <c r="C4" s="17">
        <v>0.50060268588273837</v>
      </c>
      <c r="D4" s="17"/>
      <c r="E4" s="18"/>
      <c r="F4" s="18"/>
      <c r="G4" s="18"/>
      <c r="H4" s="18"/>
      <c r="I4" s="10"/>
    </row>
    <row r="5" spans="2:9" x14ac:dyDescent="0.25">
      <c r="B5" s="7" t="s">
        <v>14</v>
      </c>
      <c r="C5" s="17">
        <v>0.50074778879656923</v>
      </c>
      <c r="D5" s="17"/>
      <c r="E5" s="18"/>
      <c r="F5" s="18"/>
      <c r="G5" s="18"/>
      <c r="H5" s="17"/>
      <c r="I5" s="8"/>
    </row>
    <row r="6" spans="2:9" x14ac:dyDescent="0.25">
      <c r="B6" s="7" t="s">
        <v>4</v>
      </c>
      <c r="C6" s="17">
        <v>1.2539378389789224E-2</v>
      </c>
      <c r="D6" s="17">
        <v>2.5048563947829994</v>
      </c>
      <c r="E6" s="33" t="s">
        <v>15</v>
      </c>
      <c r="F6" s="17"/>
      <c r="G6" s="17"/>
      <c r="H6" s="17"/>
      <c r="I6" s="8"/>
    </row>
    <row r="7" spans="2:9" x14ac:dyDescent="0.25">
      <c r="B7" s="19" t="s">
        <v>5</v>
      </c>
      <c r="C7" s="50" t="s">
        <v>16</v>
      </c>
      <c r="D7" s="50" t="s">
        <v>7</v>
      </c>
      <c r="E7" s="50" t="s">
        <v>8</v>
      </c>
      <c r="F7" s="50" t="s">
        <v>9</v>
      </c>
      <c r="G7" s="50" t="s">
        <v>13</v>
      </c>
      <c r="H7" s="50" t="s">
        <v>14</v>
      </c>
      <c r="I7" s="51" t="s">
        <v>17</v>
      </c>
    </row>
    <row r="8" spans="2:9" x14ac:dyDescent="0.25">
      <c r="B8" s="9">
        <v>2.9508196721311476E-2</v>
      </c>
      <c r="C8" s="52">
        <v>3.7086999999999999</v>
      </c>
      <c r="D8" s="52">
        <v>3.6823000000000001</v>
      </c>
      <c r="E8" s="52">
        <v>1</v>
      </c>
      <c r="F8" s="52">
        <v>0</v>
      </c>
      <c r="G8" s="52">
        <f t="shared" ref="G8:G17" si="0">C8/E8*$C$3*3/2</f>
        <v>0.50216460267857155</v>
      </c>
      <c r="H8" s="52">
        <f t="shared" ref="H8:H17" si="1">D8/E8*$C$3*3/2</f>
        <v>0.49858999553571437</v>
      </c>
      <c r="I8" s="53">
        <v>0</v>
      </c>
    </row>
    <row r="9" spans="2:9" x14ac:dyDescent="0.25">
      <c r="B9" s="9">
        <v>2.25</v>
      </c>
      <c r="C9" s="52">
        <v>3.6648999999999998</v>
      </c>
      <c r="D9" s="52">
        <v>3.6374</v>
      </c>
      <c r="E9" s="52">
        <v>1</v>
      </c>
      <c r="F9" s="52">
        <v>4.8300000000000003E-2</v>
      </c>
      <c r="G9" s="52">
        <f t="shared" si="0"/>
        <v>0.49623400446428578</v>
      </c>
      <c r="H9" s="52">
        <f t="shared" si="1"/>
        <v>0.49251045535714288</v>
      </c>
      <c r="I9" s="53">
        <v>6.5399062500000014E-3</v>
      </c>
    </row>
    <row r="10" spans="2:9" x14ac:dyDescent="0.25">
      <c r="B10" s="9">
        <v>15.8</v>
      </c>
      <c r="C10" s="52">
        <v>3.4956</v>
      </c>
      <c r="D10" s="52">
        <v>3.4121000000000001</v>
      </c>
      <c r="E10" s="52">
        <v>1</v>
      </c>
      <c r="F10" s="52">
        <v>0.26550000000000001</v>
      </c>
      <c r="G10" s="52">
        <f t="shared" si="0"/>
        <v>0.4733104821428572</v>
      </c>
      <c r="H10" s="52">
        <f t="shared" si="1"/>
        <v>0.46200443303571437</v>
      </c>
      <c r="I10" s="53">
        <v>3.5949174107142864E-2</v>
      </c>
    </row>
    <row r="11" spans="2:9" x14ac:dyDescent="0.25">
      <c r="B11" s="9">
        <v>21.416666666666668</v>
      </c>
      <c r="C11" s="52">
        <v>3.3527</v>
      </c>
      <c r="D11" s="52">
        <v>3.2044999999999999</v>
      </c>
      <c r="E11" s="52">
        <v>1</v>
      </c>
      <c r="F11" s="52">
        <v>0.40189999999999998</v>
      </c>
      <c r="G11" s="52">
        <f t="shared" si="0"/>
        <v>0.4539615669642858</v>
      </c>
      <c r="H11" s="52">
        <f t="shared" si="1"/>
        <v>0.43389502232142863</v>
      </c>
      <c r="I11" s="53">
        <v>5.4417977678571428E-2</v>
      </c>
    </row>
    <row r="12" spans="2:9" x14ac:dyDescent="0.25">
      <c r="B12" s="9">
        <v>26.35</v>
      </c>
      <c r="C12" s="52">
        <v>3.2502</v>
      </c>
      <c r="D12" s="52">
        <v>3.0933999999999999</v>
      </c>
      <c r="E12" s="52">
        <v>1</v>
      </c>
      <c r="F12" s="52">
        <v>0.51359999999999995</v>
      </c>
      <c r="G12" s="52">
        <f t="shared" si="0"/>
        <v>0.44008288392857148</v>
      </c>
      <c r="H12" s="52">
        <f t="shared" si="1"/>
        <v>0.41885188392857148</v>
      </c>
      <c r="I12" s="53">
        <v>6.8608084821428578E-2</v>
      </c>
    </row>
    <row r="13" spans="2:9" x14ac:dyDescent="0.25">
      <c r="B13" s="9">
        <v>39.533333333333331</v>
      </c>
      <c r="C13" s="52">
        <v>3.0011000000000001</v>
      </c>
      <c r="D13" s="52">
        <v>2.8822999999999999</v>
      </c>
      <c r="E13" s="52">
        <v>1</v>
      </c>
      <c r="F13" s="52">
        <v>0.752</v>
      </c>
      <c r="G13" s="52">
        <f t="shared" si="0"/>
        <v>0.40635429910714294</v>
      </c>
      <c r="H13" s="52">
        <f t="shared" si="1"/>
        <v>0.39026856696428569</v>
      </c>
      <c r="I13" s="53">
        <v>0.10182214285714286</v>
      </c>
    </row>
    <row r="14" spans="2:9" x14ac:dyDescent="0.25">
      <c r="B14" s="9">
        <v>44.783333333333331</v>
      </c>
      <c r="C14" s="52">
        <v>2.8786999999999998</v>
      </c>
      <c r="D14" s="52">
        <v>2.7212999999999998</v>
      </c>
      <c r="E14" s="52">
        <v>1</v>
      </c>
      <c r="F14" s="52">
        <v>0.85640000000000005</v>
      </c>
      <c r="G14" s="52">
        <f t="shared" si="0"/>
        <v>0.38978112053571429</v>
      </c>
      <c r="H14" s="52">
        <f t="shared" si="1"/>
        <v>0.36846887946428575</v>
      </c>
      <c r="I14" s="53">
        <v>0.1159580892857143</v>
      </c>
    </row>
    <row r="15" spans="2:9" x14ac:dyDescent="0.25">
      <c r="B15" s="9">
        <v>50.25</v>
      </c>
      <c r="C15" s="52">
        <v>2.7738999999999998</v>
      </c>
      <c r="D15" s="52">
        <v>2.5851000000000002</v>
      </c>
      <c r="E15" s="52">
        <v>1</v>
      </c>
      <c r="F15" s="52">
        <v>0.96640000000000004</v>
      </c>
      <c r="G15" s="52">
        <f t="shared" si="0"/>
        <v>0.37559101339285716</v>
      </c>
      <c r="H15" s="52">
        <f t="shared" si="1"/>
        <v>0.35002715625000003</v>
      </c>
      <c r="I15" s="53">
        <v>0.13085228571428573</v>
      </c>
    </row>
    <row r="16" spans="2:9" x14ac:dyDescent="0.25">
      <c r="B16" s="9">
        <v>63.8</v>
      </c>
      <c r="C16" s="52">
        <v>2.5379</v>
      </c>
      <c r="D16" s="52">
        <v>2.2652000000000001</v>
      </c>
      <c r="E16" s="52">
        <v>1</v>
      </c>
      <c r="F16" s="52">
        <v>1.1698</v>
      </c>
      <c r="G16" s="52">
        <f t="shared" si="0"/>
        <v>0.34363619196428574</v>
      </c>
      <c r="H16" s="52">
        <f t="shared" si="1"/>
        <v>0.30671212500000006</v>
      </c>
      <c r="I16" s="53">
        <v>0.15839300892857144</v>
      </c>
    </row>
    <row r="17" spans="2:9" ht="15.75" thickBot="1" x14ac:dyDescent="0.3">
      <c r="B17" s="11">
        <v>69.5</v>
      </c>
      <c r="C17" s="54">
        <v>2.3807999999999998</v>
      </c>
      <c r="D17" s="54">
        <v>0.72950000000000004</v>
      </c>
      <c r="E17" s="54">
        <v>1</v>
      </c>
      <c r="F17" s="54">
        <v>0.44220000000000004</v>
      </c>
      <c r="G17" s="54">
        <f t="shared" si="0"/>
        <v>0.32236457142857144</v>
      </c>
      <c r="H17" s="54">
        <f t="shared" si="1"/>
        <v>9.8775602678571439E-2</v>
      </c>
      <c r="I17" s="55">
        <v>0.17962400892857147</v>
      </c>
    </row>
    <row r="18" spans="2:9" x14ac:dyDescent="0.25">
      <c r="B18" s="22" t="s">
        <v>18</v>
      </c>
      <c r="C18" s="56"/>
      <c r="D18" s="56"/>
      <c r="E18" s="56"/>
      <c r="F18" s="56"/>
      <c r="G18" s="56"/>
      <c r="H18" s="56"/>
      <c r="I18" s="57"/>
    </row>
    <row r="19" spans="2:9" x14ac:dyDescent="0.25">
      <c r="B19" s="23" t="s">
        <v>1</v>
      </c>
      <c r="C19" s="58">
        <v>0.10720238095238095</v>
      </c>
      <c r="D19" s="58"/>
      <c r="E19" s="58"/>
      <c r="F19" s="58"/>
      <c r="G19" s="58"/>
      <c r="H19" s="58"/>
      <c r="I19" s="59"/>
    </row>
    <row r="20" spans="2:9" x14ac:dyDescent="0.25">
      <c r="B20" s="23" t="s">
        <v>13</v>
      </c>
      <c r="C20" s="58">
        <v>0.50049132001310181</v>
      </c>
      <c r="D20" s="58"/>
      <c r="E20" s="58"/>
      <c r="F20" s="58"/>
      <c r="G20" s="58"/>
      <c r="H20" s="58"/>
      <c r="I20" s="59"/>
    </row>
    <row r="21" spans="2:9" x14ac:dyDescent="0.25">
      <c r="B21" s="23" t="s">
        <v>14</v>
      </c>
      <c r="C21" s="58">
        <v>0.50131332082551594</v>
      </c>
      <c r="D21" s="58"/>
      <c r="E21" s="58"/>
      <c r="F21" s="58"/>
      <c r="G21" s="58"/>
      <c r="H21" s="58"/>
      <c r="I21" s="59"/>
    </row>
    <row r="22" spans="2:9" x14ac:dyDescent="0.25">
      <c r="B22" s="23" t="s">
        <v>20</v>
      </c>
      <c r="C22" s="58">
        <v>1.2598324486794141E-2</v>
      </c>
      <c r="D22" s="58">
        <v>2.5171914043313164</v>
      </c>
      <c r="E22" s="60" t="s">
        <v>15</v>
      </c>
      <c r="F22" s="58"/>
      <c r="G22" s="58"/>
      <c r="H22" s="58"/>
      <c r="I22" s="59"/>
    </row>
    <row r="23" spans="2:9" x14ac:dyDescent="0.25">
      <c r="B23" s="24" t="s">
        <v>5</v>
      </c>
      <c r="C23" s="61" t="s">
        <v>16</v>
      </c>
      <c r="D23" s="61" t="s">
        <v>7</v>
      </c>
      <c r="E23" s="61" t="s">
        <v>8</v>
      </c>
      <c r="F23" s="61" t="s">
        <v>9</v>
      </c>
      <c r="G23" s="61" t="s">
        <v>13</v>
      </c>
      <c r="H23" s="61" t="s">
        <v>14</v>
      </c>
      <c r="I23" s="40" t="s">
        <v>17</v>
      </c>
    </row>
    <row r="24" spans="2:9" x14ac:dyDescent="0.25">
      <c r="B24" s="25">
        <v>1.6666666666666666E-2</v>
      </c>
      <c r="C24" s="62">
        <v>3.11</v>
      </c>
      <c r="D24" s="62">
        <v>2.61</v>
      </c>
      <c r="E24" s="62">
        <v>1</v>
      </c>
      <c r="F24" s="62">
        <v>0</v>
      </c>
      <c r="G24" s="62">
        <v>0.5000991071428571</v>
      </c>
      <c r="H24" s="62">
        <v>0.41969732142857141</v>
      </c>
      <c r="I24" s="59">
        <f t="shared" ref="I24:I30" si="2">F24/E24*$C$19*3/2</f>
        <v>0</v>
      </c>
    </row>
    <row r="25" spans="2:9" x14ac:dyDescent="0.25">
      <c r="B25" s="25">
        <v>3.9166666666666665</v>
      </c>
      <c r="C25" s="62">
        <v>2.94</v>
      </c>
      <c r="D25" s="62">
        <v>2.77</v>
      </c>
      <c r="E25" s="62">
        <v>1</v>
      </c>
      <c r="F25" s="62">
        <v>0.19</v>
      </c>
      <c r="G25" s="62">
        <v>0.47276249999999997</v>
      </c>
      <c r="H25" s="62">
        <v>0.44542589285714285</v>
      </c>
      <c r="I25" s="59">
        <f t="shared" si="2"/>
        <v>3.0552678571428571E-2</v>
      </c>
    </row>
    <row r="26" spans="2:9" x14ac:dyDescent="0.25">
      <c r="B26" s="25">
        <v>18.283333333333335</v>
      </c>
      <c r="C26" s="62">
        <v>2.23</v>
      </c>
      <c r="D26" s="62">
        <v>2.17</v>
      </c>
      <c r="E26" s="62">
        <v>1</v>
      </c>
      <c r="F26" s="62">
        <v>0.75</v>
      </c>
      <c r="G26" s="62">
        <v>0.35859196428571427</v>
      </c>
      <c r="H26" s="62">
        <v>0.34894375</v>
      </c>
      <c r="I26" s="59">
        <f t="shared" si="2"/>
        <v>0.12060267857142858</v>
      </c>
    </row>
    <row r="27" spans="2:9" x14ac:dyDescent="0.25">
      <c r="B27" s="25">
        <v>21.916666666666668</v>
      </c>
      <c r="C27" s="62">
        <v>2.0699999999999998</v>
      </c>
      <c r="D27" s="62">
        <v>1.97</v>
      </c>
      <c r="E27" s="62">
        <v>1</v>
      </c>
      <c r="F27" s="62">
        <v>0.93</v>
      </c>
      <c r="G27" s="62">
        <v>0.33286339285714284</v>
      </c>
      <c r="H27" s="62">
        <v>0.31678303571428568</v>
      </c>
      <c r="I27" s="59">
        <f t="shared" si="2"/>
        <v>0.14954732142857144</v>
      </c>
    </row>
    <row r="28" spans="2:9" x14ac:dyDescent="0.25">
      <c r="B28" s="25">
        <v>24.95</v>
      </c>
      <c r="C28" s="62">
        <v>1.95</v>
      </c>
      <c r="D28" s="62">
        <v>1.85</v>
      </c>
      <c r="E28" s="62">
        <v>1</v>
      </c>
      <c r="F28" s="62">
        <v>1.06</v>
      </c>
      <c r="G28" s="62">
        <v>0.31356696428571429</v>
      </c>
      <c r="H28" s="62">
        <v>0.29748660714285713</v>
      </c>
      <c r="I28" s="59">
        <f t="shared" si="2"/>
        <v>0.17045178571428571</v>
      </c>
    </row>
    <row r="29" spans="2:9" x14ac:dyDescent="0.25">
      <c r="B29" s="25">
        <v>28.9</v>
      </c>
      <c r="C29" s="62">
        <v>1.8</v>
      </c>
      <c r="D29" s="62">
        <v>1.71</v>
      </c>
      <c r="E29" s="62">
        <v>1</v>
      </c>
      <c r="F29" s="62">
        <v>1.1599999999999999</v>
      </c>
      <c r="G29" s="62">
        <v>0.2894464285714286</v>
      </c>
      <c r="H29" s="62">
        <v>0.27497410714285714</v>
      </c>
      <c r="I29" s="59">
        <f t="shared" si="2"/>
        <v>0.18653214285714284</v>
      </c>
    </row>
    <row r="30" spans="2:9" ht="15.75" thickBot="1" x14ac:dyDescent="0.3">
      <c r="B30" s="26">
        <v>42.283333333333331</v>
      </c>
      <c r="C30" s="63">
        <v>1.45</v>
      </c>
      <c r="D30" s="63">
        <v>1.36</v>
      </c>
      <c r="E30" s="63">
        <v>1</v>
      </c>
      <c r="F30" s="63">
        <v>1.55</v>
      </c>
      <c r="G30" s="63">
        <v>0.23316517857142854</v>
      </c>
      <c r="H30" s="63">
        <v>0.21869285714285719</v>
      </c>
      <c r="I30" s="64">
        <f t="shared" si="2"/>
        <v>0.2492455357142857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874BD-8374-40F1-B94C-AC09FE06D639}">
  <dimension ref="B1:I34"/>
  <sheetViews>
    <sheetView topLeftCell="A3" zoomScale="85" zoomScaleNormal="85" workbookViewId="0">
      <selection activeCell="C8" sqref="C8:I34"/>
    </sheetView>
  </sheetViews>
  <sheetFormatPr defaultRowHeight="15" x14ac:dyDescent="0.25"/>
  <cols>
    <col min="1" max="1" width="6.140625" customWidth="1"/>
    <col min="2" max="2" width="17.140625" customWidth="1"/>
    <col min="3" max="3" width="16.42578125" customWidth="1"/>
    <col min="4" max="4" width="14.28515625" customWidth="1"/>
    <col min="5" max="5" width="10.85546875" customWidth="1"/>
    <col min="6" max="6" width="16.7109375" customWidth="1"/>
    <col min="8" max="8" width="22.85546875" customWidth="1"/>
  </cols>
  <sheetData>
    <row r="1" spans="2:9" ht="15.75" thickBot="1" x14ac:dyDescent="0.3">
      <c r="B1" s="32" t="s">
        <v>19</v>
      </c>
    </row>
    <row r="2" spans="2:9" x14ac:dyDescent="0.25">
      <c r="B2" s="27" t="s">
        <v>0</v>
      </c>
      <c r="C2" s="13"/>
      <c r="D2" s="13"/>
      <c r="E2" s="13"/>
      <c r="F2" s="13"/>
      <c r="G2" s="13"/>
      <c r="H2" s="13"/>
      <c r="I2" s="15"/>
    </row>
    <row r="3" spans="2:9" x14ac:dyDescent="0.25">
      <c r="B3" s="28" t="s">
        <v>1</v>
      </c>
      <c r="C3" s="17">
        <f>1.1/2*286.1/168/10</f>
        <v>9.3663690476190484E-2</v>
      </c>
      <c r="D3" s="16"/>
      <c r="E3" s="16"/>
      <c r="F3" s="16"/>
      <c r="G3" s="16"/>
      <c r="H3" s="16"/>
      <c r="I3" s="14"/>
    </row>
    <row r="4" spans="2:9" x14ac:dyDescent="0.25">
      <c r="B4" s="28" t="s">
        <v>2</v>
      </c>
      <c r="C4" s="17">
        <f>4.4/5*775.6/136.15/10</f>
        <v>0.50130591259640112</v>
      </c>
      <c r="D4" s="16"/>
      <c r="E4" s="16"/>
      <c r="F4" s="16"/>
      <c r="G4" s="16"/>
      <c r="H4" s="16"/>
      <c r="I4" s="14"/>
    </row>
    <row r="5" spans="2:9" x14ac:dyDescent="0.25">
      <c r="B5" s="28" t="s">
        <v>3</v>
      </c>
      <c r="C5" s="17">
        <f>4.4/5*537.9/94.11/10</f>
        <v>0.50297736691106154</v>
      </c>
      <c r="D5" s="16"/>
      <c r="E5" s="16"/>
      <c r="F5" s="16"/>
      <c r="G5" s="16"/>
      <c r="H5" s="16"/>
      <c r="I5" s="14"/>
    </row>
    <row r="6" spans="2:9" x14ac:dyDescent="0.25">
      <c r="B6" s="28" t="s">
        <v>4</v>
      </c>
      <c r="C6" s="17">
        <f>100*1.43/307.91/10</f>
        <v>4.6442142184404525E-2</v>
      </c>
      <c r="D6" s="32">
        <f>C6/0.5*100</f>
        <v>9.2884284368809045</v>
      </c>
      <c r="E6" s="16"/>
      <c r="F6" s="16"/>
      <c r="G6" s="16"/>
      <c r="H6" s="16"/>
      <c r="I6" s="14"/>
    </row>
    <row r="7" spans="2:9" x14ac:dyDescent="0.25">
      <c r="B7" s="29" t="s">
        <v>5</v>
      </c>
      <c r="C7" s="20" t="s">
        <v>6</v>
      </c>
      <c r="D7" s="20" t="s">
        <v>7</v>
      </c>
      <c r="E7" s="20" t="s">
        <v>8</v>
      </c>
      <c r="F7" s="20" t="s">
        <v>9</v>
      </c>
      <c r="G7" s="20" t="s">
        <v>10</v>
      </c>
      <c r="H7" s="20" t="s">
        <v>3</v>
      </c>
      <c r="I7" s="21" t="s">
        <v>11</v>
      </c>
    </row>
    <row r="8" spans="2:9" x14ac:dyDescent="0.25">
      <c r="B8" s="30">
        <v>2.5000000000000001E-2</v>
      </c>
      <c r="C8" s="18">
        <v>1.0684</v>
      </c>
      <c r="D8" s="18">
        <v>0.4975</v>
      </c>
      <c r="E8" s="18">
        <v>1</v>
      </c>
      <c r="F8" s="18">
        <v>0</v>
      </c>
      <c r="G8" s="18">
        <f>C8/E8*$C$3*9/2</f>
        <v>0.45031629107142862</v>
      </c>
      <c r="H8" s="18">
        <f>D8/E8*$C$3*9</f>
        <v>0.41937917410714293</v>
      </c>
      <c r="I8" s="10">
        <f>F8/E8*$C$3*3</f>
        <v>0</v>
      </c>
    </row>
    <row r="9" spans="2:9" x14ac:dyDescent="0.25">
      <c r="B9" s="30">
        <f>1+13/60</f>
        <v>1.2166666666666668</v>
      </c>
      <c r="C9" s="18">
        <v>1.0634999999999999</v>
      </c>
      <c r="D9" s="18">
        <f>0.6895-0.157</f>
        <v>0.53249999999999997</v>
      </c>
      <c r="E9" s="18">
        <v>1</v>
      </c>
      <c r="F9" s="18">
        <v>5.7000000000000002E-3</v>
      </c>
      <c r="G9" s="18">
        <f>C9/E9*$C$3*9/2</f>
        <v>0.44825100669642859</v>
      </c>
      <c r="H9" s="18">
        <f>D9/E9*$C$3*9</f>
        <v>0.44888323660714285</v>
      </c>
      <c r="I9" s="10">
        <f>F9/E9*$C$3*3</f>
        <v>1.6016491071428572E-3</v>
      </c>
    </row>
    <row r="10" spans="2:9" x14ac:dyDescent="0.25">
      <c r="B10" s="30">
        <f>2+53/60</f>
        <v>2.8833333333333333</v>
      </c>
      <c r="C10" s="18">
        <v>3.0596000000000001</v>
      </c>
      <c r="D10" s="18">
        <v>2.8043</v>
      </c>
      <c r="E10" s="18">
        <v>1</v>
      </c>
      <c r="F10" s="18">
        <v>1.24E-2</v>
      </c>
      <c r="G10" s="18">
        <f>C10/E10*$C$3*3/2</f>
        <v>0.42986014107142867</v>
      </c>
      <c r="H10" s="18">
        <f>D10/E10*$C$3*3/2</f>
        <v>0.39399163080357147</v>
      </c>
      <c r="I10" s="10">
        <f>F10/E10*$C$3*3</f>
        <v>3.4842892857142862E-3</v>
      </c>
    </row>
    <row r="11" spans="2:9" x14ac:dyDescent="0.25">
      <c r="B11" s="30">
        <f>4+26/60</f>
        <v>4.4333333333333336</v>
      </c>
      <c r="C11" s="18">
        <v>1.0076000000000001</v>
      </c>
      <c r="D11" s="18">
        <v>1.0362</v>
      </c>
      <c r="E11" s="18">
        <v>1</v>
      </c>
      <c r="F11" s="18">
        <v>2.1000000000000001E-2</v>
      </c>
      <c r="G11" s="18">
        <f>C11/E11*$C$3*9/2</f>
        <v>0.42468990535714291</v>
      </c>
      <c r="H11" s="18">
        <f>D11/E11*$C$3*9/2</f>
        <v>0.43674442232142863</v>
      </c>
      <c r="I11" s="10">
        <f>F11/E11*$C$3*9</f>
        <v>1.7702437500000005E-2</v>
      </c>
    </row>
    <row r="12" spans="2:9" x14ac:dyDescent="0.25">
      <c r="B12" s="30">
        <f>6+33/60</f>
        <v>6.55</v>
      </c>
      <c r="C12" s="18">
        <v>0.98870000000000002</v>
      </c>
      <c r="D12" s="18">
        <f>0.7782-0.2745</f>
        <v>0.50370000000000004</v>
      </c>
      <c r="E12" s="18">
        <v>1</v>
      </c>
      <c r="F12" s="18">
        <v>3.3000000000000002E-2</v>
      </c>
      <c r="G12" s="18">
        <f>C12/E12*$C$3*9/2</f>
        <v>0.41672380848214291</v>
      </c>
      <c r="H12" s="18">
        <f>D12/E12*$C$3*9</f>
        <v>0.42460560803571434</v>
      </c>
      <c r="I12" s="10">
        <f>F12/E12*$C$3*9</f>
        <v>2.7818116071428575E-2</v>
      </c>
    </row>
    <row r="13" spans="2:9" x14ac:dyDescent="0.25">
      <c r="B13" s="30">
        <f>8+5/60</f>
        <v>8.0833333333333339</v>
      </c>
      <c r="C13" s="18">
        <v>2.8813</v>
      </c>
      <c r="D13" s="18">
        <v>2.9662999999999999</v>
      </c>
      <c r="E13" s="18">
        <v>1</v>
      </c>
      <c r="F13" s="18">
        <v>0.114</v>
      </c>
      <c r="G13" s="18">
        <f t="shared" ref="G13:G20" si="0">C13/E13*$C$3*3/2</f>
        <v>0.40480978705357146</v>
      </c>
      <c r="H13" s="18">
        <f t="shared" ref="H13:H20" si="1">D13/E13*$C$3*3/2</f>
        <v>0.41675190758928576</v>
      </c>
      <c r="I13" s="10">
        <f t="shared" ref="I13:I20" si="2">F13/E13*$C$3*3</f>
        <v>3.2032982142857144E-2</v>
      </c>
    </row>
    <row r="14" spans="2:9" x14ac:dyDescent="0.25">
      <c r="B14" s="30">
        <f>22+31/60</f>
        <v>22.516666666666666</v>
      </c>
      <c r="C14" s="18">
        <v>2.3950999999999998</v>
      </c>
      <c r="D14" s="18">
        <v>2.5146999999999999</v>
      </c>
      <c r="E14" s="18">
        <v>1</v>
      </c>
      <c r="F14" s="18">
        <v>0.29339999999999999</v>
      </c>
      <c r="G14" s="18">
        <f t="shared" si="0"/>
        <v>0.33650085758928572</v>
      </c>
      <c r="H14" s="18">
        <f t="shared" si="1"/>
        <v>0.35330412366071429</v>
      </c>
      <c r="I14" s="10">
        <f t="shared" si="2"/>
        <v>8.2442780357142864E-2</v>
      </c>
    </row>
    <row r="15" spans="2:9" x14ac:dyDescent="0.25">
      <c r="B15" s="30">
        <f>26+8/60</f>
        <v>26.133333333333333</v>
      </c>
      <c r="C15" s="18">
        <v>2.3176000000000001</v>
      </c>
      <c r="D15" s="18">
        <v>2.3513000000000002</v>
      </c>
      <c r="E15" s="18">
        <v>1</v>
      </c>
      <c r="F15" s="18">
        <v>0.38550000000000001</v>
      </c>
      <c r="G15" s="18">
        <f t="shared" si="0"/>
        <v>0.32561245357142865</v>
      </c>
      <c r="H15" s="18">
        <f t="shared" si="1"/>
        <v>0.33034715312500007</v>
      </c>
      <c r="I15" s="10">
        <f t="shared" si="2"/>
        <v>0.10832205803571429</v>
      </c>
    </row>
    <row r="16" spans="2:9" x14ac:dyDescent="0.25">
      <c r="B16" s="30">
        <f>30+7/60</f>
        <v>30.116666666666667</v>
      </c>
      <c r="C16" s="18">
        <v>2.1560999999999999</v>
      </c>
      <c r="D16" s="18">
        <v>2.1859000000000002</v>
      </c>
      <c r="E16" s="18">
        <v>1</v>
      </c>
      <c r="F16" s="18">
        <v>0.43940000000000001</v>
      </c>
      <c r="G16" s="18">
        <f t="shared" si="0"/>
        <v>0.30292242455357143</v>
      </c>
      <c r="H16" s="18">
        <f t="shared" si="1"/>
        <v>0.30710919151785721</v>
      </c>
      <c r="I16" s="10">
        <f t="shared" si="2"/>
        <v>0.12346747678571431</v>
      </c>
    </row>
    <row r="17" spans="2:9" x14ac:dyDescent="0.25">
      <c r="B17" s="34">
        <f>33+44/60</f>
        <v>33.733333333333334</v>
      </c>
      <c r="C17" s="35">
        <v>2.0794999999999999</v>
      </c>
      <c r="D17" s="35">
        <v>2.1214</v>
      </c>
      <c r="E17" s="35">
        <v>1</v>
      </c>
      <c r="F17" s="35">
        <v>0.50229999999999997</v>
      </c>
      <c r="G17" s="35">
        <f t="shared" si="0"/>
        <v>0.29216046651785715</v>
      </c>
      <c r="H17" s="35">
        <f t="shared" si="1"/>
        <v>0.29804722946428575</v>
      </c>
      <c r="I17" s="43">
        <f t="shared" si="2"/>
        <v>0.14114181517857144</v>
      </c>
    </row>
    <row r="18" spans="2:9" x14ac:dyDescent="0.25">
      <c r="B18" s="34">
        <f>46+45/60</f>
        <v>46.75</v>
      </c>
      <c r="C18" s="35">
        <v>1.9316</v>
      </c>
      <c r="D18" s="35">
        <v>1.9601999999999999</v>
      </c>
      <c r="E18" s="35">
        <v>1</v>
      </c>
      <c r="F18" s="35">
        <v>0.6532</v>
      </c>
      <c r="G18" s="35">
        <f t="shared" si="0"/>
        <v>0.27138117678571427</v>
      </c>
      <c r="H18" s="35">
        <f t="shared" si="1"/>
        <v>0.27539934910714287</v>
      </c>
      <c r="I18" s="43">
        <f t="shared" si="2"/>
        <v>0.18354336785714287</v>
      </c>
    </row>
    <row r="19" spans="2:9" x14ac:dyDescent="0.25">
      <c r="B19" s="30">
        <f>51+35/60</f>
        <v>51.583333333333336</v>
      </c>
      <c r="C19" s="18">
        <v>1.8154999999999999</v>
      </c>
      <c r="D19" s="18">
        <v>1.7727999999999999</v>
      </c>
      <c r="E19" s="18">
        <v>1</v>
      </c>
      <c r="F19" s="18">
        <v>0.72509999999999997</v>
      </c>
      <c r="G19" s="18">
        <f t="shared" si="0"/>
        <v>0.2550696450892857</v>
      </c>
      <c r="H19" s="18">
        <f t="shared" si="1"/>
        <v>0.24907048571428572</v>
      </c>
      <c r="I19" s="10">
        <f t="shared" si="2"/>
        <v>0.20374662589285714</v>
      </c>
    </row>
    <row r="20" spans="2:9" ht="15.75" thickBot="1" x14ac:dyDescent="0.3">
      <c r="B20" s="36">
        <f>55+16/60</f>
        <v>55.266666666666666</v>
      </c>
      <c r="C20" s="37">
        <v>1.7434000000000001</v>
      </c>
      <c r="D20" s="37">
        <v>1.7339</v>
      </c>
      <c r="E20" s="37">
        <v>1</v>
      </c>
      <c r="F20" s="37">
        <v>0.748</v>
      </c>
      <c r="G20" s="37">
        <f t="shared" si="0"/>
        <v>0.24493991696428574</v>
      </c>
      <c r="H20" s="37">
        <f t="shared" si="1"/>
        <v>0.24360520937500002</v>
      </c>
      <c r="I20" s="44">
        <f t="shared" si="2"/>
        <v>0.21018132142857143</v>
      </c>
    </row>
    <row r="21" spans="2:9" x14ac:dyDescent="0.25">
      <c r="B21" s="3" t="s">
        <v>12</v>
      </c>
      <c r="C21" s="45"/>
      <c r="D21" s="45"/>
      <c r="E21" s="45"/>
      <c r="F21" s="45"/>
      <c r="G21" s="45"/>
      <c r="H21" s="45"/>
      <c r="I21" s="46"/>
    </row>
    <row r="22" spans="2:9" x14ac:dyDescent="0.25">
      <c r="B22" s="4" t="s">
        <v>1</v>
      </c>
      <c r="C22" s="1">
        <f>1/2*297/168/10</f>
        <v>8.8392857142857134E-2</v>
      </c>
      <c r="D22" s="1"/>
      <c r="E22" s="1"/>
      <c r="F22" s="1"/>
      <c r="G22" s="1"/>
      <c r="H22" s="1"/>
      <c r="I22" s="47"/>
    </row>
    <row r="23" spans="2:9" x14ac:dyDescent="0.25">
      <c r="B23" s="4" t="s">
        <v>2</v>
      </c>
      <c r="C23" s="1">
        <f>4/5*850.4/136.15/10</f>
        <v>0.49968417186926184</v>
      </c>
      <c r="D23" s="1"/>
      <c r="E23" s="1"/>
      <c r="F23" s="1"/>
      <c r="G23" s="1"/>
      <c r="H23" s="1"/>
      <c r="I23" s="47"/>
    </row>
    <row r="24" spans="2:9" x14ac:dyDescent="0.25">
      <c r="B24" s="4" t="s">
        <v>3</v>
      </c>
      <c r="C24" s="1">
        <f>4/5*588.4/94.11/10</f>
        <v>0.50018063967697379</v>
      </c>
      <c r="D24" s="1"/>
      <c r="E24" s="1"/>
      <c r="F24" s="1"/>
      <c r="G24" s="1"/>
      <c r="H24" s="1"/>
      <c r="I24" s="47"/>
    </row>
    <row r="25" spans="2:9" x14ac:dyDescent="0.25">
      <c r="B25" s="4" t="s">
        <v>20</v>
      </c>
      <c r="C25" s="1">
        <f>1/2*156.4/156.37/10</f>
        <v>5.0009592632857966E-2</v>
      </c>
      <c r="D25" s="33">
        <f>C25/0.5*100</f>
        <v>10.001918526571593</v>
      </c>
      <c r="E25" s="1"/>
      <c r="F25" s="1"/>
      <c r="G25" s="1"/>
      <c r="H25" s="1"/>
      <c r="I25" s="47"/>
    </row>
    <row r="26" spans="2:9" x14ac:dyDescent="0.25">
      <c r="B26" s="5" t="s">
        <v>5</v>
      </c>
      <c r="C26" s="41" t="s">
        <v>6</v>
      </c>
      <c r="D26" s="41" t="s">
        <v>7</v>
      </c>
      <c r="E26" s="41" t="s">
        <v>8</v>
      </c>
      <c r="F26" s="41" t="s">
        <v>9</v>
      </c>
      <c r="G26" s="41" t="s">
        <v>10</v>
      </c>
      <c r="H26" s="41" t="s">
        <v>3</v>
      </c>
      <c r="I26" s="42" t="s">
        <v>11</v>
      </c>
    </row>
    <row r="27" spans="2:9" x14ac:dyDescent="0.25">
      <c r="B27" s="6">
        <v>2.5000000000000001E-2</v>
      </c>
      <c r="C27" s="2">
        <v>3.7585999999999999</v>
      </c>
      <c r="D27" s="2">
        <v>1.8707</v>
      </c>
      <c r="E27" s="2">
        <v>1</v>
      </c>
      <c r="F27" s="2">
        <v>0</v>
      </c>
      <c r="G27" s="2">
        <f>C27/E27*$C$22*3/2</f>
        <v>0.49835008928571423</v>
      </c>
      <c r="H27" s="2">
        <f>D27/E27*$C$22*3</f>
        <v>0.49606955357142851</v>
      </c>
      <c r="I27" s="48">
        <f t="shared" ref="I27:I34" si="3">F27/E27*$C$22*3/2</f>
        <v>0</v>
      </c>
    </row>
    <row r="28" spans="2:9" x14ac:dyDescent="0.25">
      <c r="B28" s="6">
        <f>1+14/60</f>
        <v>1.2333333333333334</v>
      </c>
      <c r="C28" s="2">
        <v>3.7822</v>
      </c>
      <c r="D28" s="2">
        <v>1.8816999999999999</v>
      </c>
      <c r="E28" s="2">
        <v>1</v>
      </c>
      <c r="F28" s="2">
        <v>0</v>
      </c>
      <c r="G28" s="2">
        <f>C28/E28*$C$22*3/2</f>
        <v>0.50147919642857142</v>
      </c>
      <c r="H28" s="2">
        <f>D28/E28*$C$22*3</f>
        <v>0.49898651785714276</v>
      </c>
      <c r="I28" s="48">
        <f t="shared" si="3"/>
        <v>0</v>
      </c>
    </row>
    <row r="29" spans="2:9" x14ac:dyDescent="0.25">
      <c r="B29" s="6">
        <v>5</v>
      </c>
      <c r="C29" s="2">
        <v>3.7724000000000002</v>
      </c>
      <c r="D29" s="2">
        <v>1.84</v>
      </c>
      <c r="E29" s="2">
        <v>1</v>
      </c>
      <c r="F29" s="2">
        <v>0</v>
      </c>
      <c r="G29" s="2">
        <f>C29/E29*$C$22*3/2</f>
        <v>0.50017982142857143</v>
      </c>
      <c r="H29" s="2">
        <f>D29/E29*$C$22*3</f>
        <v>0.48792857142857143</v>
      </c>
      <c r="I29" s="48">
        <f t="shared" si="3"/>
        <v>0</v>
      </c>
    </row>
    <row r="30" spans="2:9" x14ac:dyDescent="0.25">
      <c r="B30" s="6">
        <v>19.5</v>
      </c>
      <c r="C30" s="2">
        <v>1.2156</v>
      </c>
      <c r="D30" s="2">
        <v>0.59850000000000003</v>
      </c>
      <c r="E30" s="2">
        <v>1</v>
      </c>
      <c r="F30" s="2">
        <v>0</v>
      </c>
      <c r="G30" s="2">
        <f>C30/E30*$C$22*9/2</f>
        <v>0.48352660714285711</v>
      </c>
      <c r="H30" s="2">
        <f>D30/E30*$C$22*9</f>
        <v>0.47612812499999996</v>
      </c>
      <c r="I30" s="48">
        <f t="shared" si="3"/>
        <v>0</v>
      </c>
    </row>
    <row r="31" spans="2:9" x14ac:dyDescent="0.25">
      <c r="B31" s="6">
        <v>23</v>
      </c>
      <c r="C31" s="2">
        <v>3.6312000000000002</v>
      </c>
      <c r="D31" s="2">
        <v>1.7595000000000001</v>
      </c>
      <c r="E31" s="2">
        <v>1</v>
      </c>
      <c r="F31" s="2">
        <v>0</v>
      </c>
      <c r="G31" s="2">
        <f>C31/E31*$C$22*3/2</f>
        <v>0.48145821428571423</v>
      </c>
      <c r="H31" s="2">
        <f>D31/E31*$C$22*3</f>
        <v>0.46658169642857139</v>
      </c>
      <c r="I31" s="48">
        <f t="shared" si="3"/>
        <v>0</v>
      </c>
    </row>
    <row r="32" spans="2:9" x14ac:dyDescent="0.25">
      <c r="B32" s="6">
        <f>19.5+6</f>
        <v>25.5</v>
      </c>
      <c r="C32" s="2">
        <v>1.2191000000000001</v>
      </c>
      <c r="D32" s="2">
        <v>0.61</v>
      </c>
      <c r="E32" s="2">
        <v>1</v>
      </c>
      <c r="F32" s="2">
        <v>0</v>
      </c>
      <c r="G32" s="2">
        <f>C32/E32*$C$22*9/2</f>
        <v>0.48491879464285714</v>
      </c>
      <c r="H32" s="2">
        <f>D32/E32*$C$22*9</f>
        <v>0.48527678571428567</v>
      </c>
      <c r="I32" s="48">
        <f t="shared" si="3"/>
        <v>0</v>
      </c>
    </row>
    <row r="33" spans="2:9" x14ac:dyDescent="0.25">
      <c r="B33" s="6">
        <f>8.5+19.5</f>
        <v>28</v>
      </c>
      <c r="C33" s="2">
        <v>1.2178</v>
      </c>
      <c r="D33" s="2">
        <v>0.58840000000000003</v>
      </c>
      <c r="E33" s="2">
        <v>1</v>
      </c>
      <c r="F33" s="2">
        <v>0</v>
      </c>
      <c r="G33" s="2">
        <f>C33/E33*$C$22*9/2</f>
        <v>0.48440169642857139</v>
      </c>
      <c r="H33" s="2">
        <f>D33/E33*$C$22*9</f>
        <v>0.46809321428571427</v>
      </c>
      <c r="I33" s="48">
        <f t="shared" si="3"/>
        <v>0</v>
      </c>
    </row>
    <row r="34" spans="2:9" ht="15.75" thickBot="1" x14ac:dyDescent="0.3">
      <c r="B34" s="39">
        <v>43.5</v>
      </c>
      <c r="C34" s="31">
        <v>3.6227</v>
      </c>
      <c r="D34" s="31">
        <v>1.7192000000000001</v>
      </c>
      <c r="E34" s="31">
        <v>1</v>
      </c>
      <c r="F34" s="31">
        <v>0</v>
      </c>
      <c r="G34" s="31">
        <f>C34/E34*$C$22*3/2</f>
        <v>0.48033120535714285</v>
      </c>
      <c r="H34" s="31">
        <f>D34/E34*$C$22*3</f>
        <v>0.45589499999999994</v>
      </c>
      <c r="I34" s="49">
        <f t="shared" si="3"/>
        <v>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1536cd-c54d-4960-b411-aa1c0c912b7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1B549E5C97C84FA8900F8A80C5FF26" ma:contentTypeVersion="11" ma:contentTypeDescription="Create a new document." ma:contentTypeScope="" ma:versionID="d37af6a6c3b1b7366e21dfab4476ed6a">
  <xsd:schema xmlns:xsd="http://www.w3.org/2001/XMLSchema" xmlns:xs="http://www.w3.org/2001/XMLSchema" xmlns:p="http://schemas.microsoft.com/office/2006/metadata/properties" xmlns:ns3="151536cd-c54d-4960-b411-aa1c0c912b7b" targetNamespace="http://schemas.microsoft.com/office/2006/metadata/properties" ma:root="true" ma:fieldsID="db62ed6bb92516788acdcf1f27447559" ns3:_="">
    <xsd:import namespace="151536cd-c54d-4960-b411-aa1c0c912b7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1536cd-c54d-4960-b411-aa1c0c912b7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2DBC1F-B085-4D21-AF0A-DD9AFEC860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0B37C-3C65-4BB8-B7D6-5D93F695D748}">
  <ds:schemaRefs>
    <ds:schemaRef ds:uri="http://schemas.microsoft.com/office/infopath/2007/PartnerControls"/>
    <ds:schemaRef ds:uri="http://schemas.microsoft.com/office/2006/metadata/properties"/>
    <ds:schemaRef ds:uri="http://purl.org/dc/elements/1.1/"/>
    <ds:schemaRef ds:uri="151536cd-c54d-4960-b411-aa1c0c912b7b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68DDF3D7-5356-458F-9FD2-57E0D8323C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1536cd-c54d-4960-b411-aa1c0c912b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Scheme 1</vt:lpstr>
      <vt:lpstr>Scheme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Alamillo Ferrer</dc:creator>
  <cp:lastModifiedBy>Sheppard, Tom</cp:lastModifiedBy>
  <dcterms:created xsi:type="dcterms:W3CDTF">2024-10-30T15:38:37Z</dcterms:created>
  <dcterms:modified xsi:type="dcterms:W3CDTF">2024-11-07T14:28:50Z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0x0101005F1B549E5C97C84FA8900F8A80C5FF26</vt:lpwstr>
  </property>
</Properties>
</file>