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y Drive/Postdoc/Legacy/Onedrive_backup/Onedrive-backup/Bull_Oxetanes/Radical/SI/"/>
    </mc:Choice>
  </mc:AlternateContent>
  <xr:revisionPtr revIDLastSave="0" documentId="13_ncr:1_{6CA9956F-500A-7544-A775-1AF8ADAB280A}" xr6:coauthVersionLast="47" xr6:coauthVersionMax="47" xr10:uidLastSave="{00000000-0000-0000-0000-000000000000}"/>
  <bookViews>
    <workbookView xWindow="0" yWindow="740" windowWidth="30240" windowHeight="18900" activeTab="2" xr2:uid="{B89A61EE-DC03-5C47-8BED-87374E3D0611}"/>
  </bookViews>
  <sheets>
    <sheet name="Radical stability" sheetId="1" r:id="rId1"/>
    <sheet name="Giese addition" sheetId="2" r:id="rId2"/>
    <sheet name="Reduction potential" sheetId="5" r:id="rId3"/>
    <sheet name="Spin density" sheetId="3" r:id="rId4"/>
    <sheet name="Figures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4" i="5" l="1"/>
  <c r="K53" i="5"/>
  <c r="T26" i="5"/>
  <c r="I54" i="5"/>
  <c r="H54" i="5"/>
  <c r="G54" i="5"/>
  <c r="F54" i="5"/>
  <c r="E54" i="5"/>
  <c r="D54" i="5"/>
  <c r="C54" i="5"/>
  <c r="B54" i="5"/>
  <c r="J54" i="5"/>
  <c r="I53" i="5"/>
  <c r="J53" i="5" s="1"/>
  <c r="H53" i="5"/>
  <c r="G53" i="5"/>
  <c r="F53" i="5"/>
  <c r="E53" i="5"/>
  <c r="D53" i="5"/>
  <c r="C53" i="5"/>
  <c r="B53" i="5"/>
  <c r="T35" i="5"/>
  <c r="D42" i="2"/>
  <c r="D43" i="2"/>
  <c r="C23" i="1"/>
  <c r="I22" i="2"/>
  <c r="J22" i="2" s="1"/>
  <c r="K22" i="2" s="1"/>
  <c r="H42" i="2"/>
  <c r="E43" i="2"/>
  <c r="G43" i="2"/>
  <c r="H43" i="2"/>
  <c r="C42" i="2"/>
  <c r="C43" i="2"/>
  <c r="F25" i="2"/>
  <c r="I25" i="2"/>
  <c r="J25" i="2" s="1"/>
  <c r="I23" i="2"/>
  <c r="F23" i="2"/>
  <c r="E42" i="2"/>
  <c r="G42" i="2"/>
  <c r="I24" i="2"/>
  <c r="J24" i="2" s="1"/>
  <c r="K24" i="2" s="1"/>
  <c r="F24" i="2"/>
  <c r="F22" i="2"/>
  <c r="D29" i="1"/>
  <c r="E29" i="1"/>
  <c r="G29" i="1"/>
  <c r="H29" i="1"/>
  <c r="J29" i="1"/>
  <c r="C29" i="1"/>
  <c r="J16" i="1"/>
  <c r="J17" i="1"/>
  <c r="K17" i="1" s="1"/>
  <c r="J18" i="1"/>
  <c r="K18" i="1" s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I3" i="1"/>
  <c r="I4" i="1"/>
  <c r="I5" i="1"/>
  <c r="I6" i="1"/>
  <c r="I7" i="1"/>
  <c r="I8" i="1"/>
  <c r="I9" i="1"/>
  <c r="I10" i="1"/>
  <c r="I11" i="1"/>
  <c r="I12" i="1"/>
  <c r="I13" i="1"/>
  <c r="I14" i="1"/>
  <c r="I17" i="1"/>
  <c r="I18" i="1"/>
  <c r="I29" i="1" s="1"/>
  <c r="I15" i="1"/>
  <c r="I16" i="1"/>
  <c r="H28" i="1"/>
  <c r="D28" i="1"/>
  <c r="E28" i="1"/>
  <c r="G28" i="1"/>
  <c r="C28" i="1"/>
  <c r="F16" i="1"/>
  <c r="F17" i="1"/>
  <c r="F18" i="1"/>
  <c r="F15" i="1"/>
  <c r="K16" i="1"/>
  <c r="I28" i="1" l="1"/>
  <c r="K25" i="2"/>
  <c r="J23" i="2"/>
  <c r="I27" i="1"/>
  <c r="J28" i="1"/>
  <c r="K15" i="1"/>
  <c r="K23" i="2" l="1"/>
  <c r="D34" i="5"/>
  <c r="E34" i="5"/>
  <c r="G34" i="5"/>
  <c r="H34" i="5"/>
  <c r="L34" i="5"/>
  <c r="C34" i="5"/>
  <c r="M19" i="5"/>
  <c r="N19" i="5" s="1"/>
  <c r="O19" i="5" s="1"/>
  <c r="M20" i="5"/>
  <c r="N20" i="5" s="1"/>
  <c r="O20" i="5" s="1"/>
  <c r="I20" i="5"/>
  <c r="J20" i="5"/>
  <c r="K20" i="5" s="1"/>
  <c r="I19" i="5"/>
  <c r="J19" i="5"/>
  <c r="K19" i="5" s="1"/>
  <c r="F20" i="5"/>
  <c r="F19" i="5"/>
  <c r="M5" i="5"/>
  <c r="N5" i="5" s="1"/>
  <c r="M6" i="5"/>
  <c r="N6" i="5" s="1"/>
  <c r="O6" i="5" s="1"/>
  <c r="I5" i="5"/>
  <c r="J5" i="5"/>
  <c r="K5" i="5" s="1"/>
  <c r="I6" i="5"/>
  <c r="I27" i="5" s="1"/>
  <c r="J6" i="5"/>
  <c r="D27" i="5"/>
  <c r="E27" i="5"/>
  <c r="G27" i="5"/>
  <c r="H27" i="5"/>
  <c r="L27" i="5"/>
  <c r="C27" i="5"/>
  <c r="C26" i="5"/>
  <c r="F6" i="5"/>
  <c r="F5" i="5"/>
  <c r="F27" i="5" l="1"/>
  <c r="K34" i="5"/>
  <c r="S34" i="5" s="1"/>
  <c r="F34" i="5"/>
  <c r="I34" i="5"/>
  <c r="J34" i="5"/>
  <c r="O5" i="5"/>
  <c r="J27" i="5"/>
  <c r="K6" i="5"/>
  <c r="K27" i="5" s="1"/>
  <c r="S27" i="5" s="1"/>
  <c r="C40" i="5" s="1"/>
  <c r="D40" i="5" s="1"/>
  <c r="L29" i="5"/>
  <c r="D29" i="5"/>
  <c r="E29" i="5"/>
  <c r="G29" i="5"/>
  <c r="H29" i="5"/>
  <c r="I9" i="5"/>
  <c r="J9" i="5"/>
  <c r="K9" i="5" s="1"/>
  <c r="I10" i="5"/>
  <c r="I29" i="5" s="1"/>
  <c r="J10" i="5"/>
  <c r="K10" i="5" s="1"/>
  <c r="F9" i="5"/>
  <c r="F10" i="5"/>
  <c r="S35" i="5"/>
  <c r="L26" i="5"/>
  <c r="L33" i="5"/>
  <c r="L32" i="5"/>
  <c r="L31" i="5"/>
  <c r="L30" i="5"/>
  <c r="L28" i="5"/>
  <c r="C47" i="5" l="1"/>
  <c r="D47" i="5" s="1"/>
  <c r="F29" i="5"/>
  <c r="K29" i="5"/>
  <c r="S29" i="5" s="1"/>
  <c r="J29" i="5"/>
  <c r="M15" i="5"/>
  <c r="N15" i="5" s="1"/>
  <c r="O15" i="5" s="1"/>
  <c r="M16" i="5"/>
  <c r="N16" i="5" s="1"/>
  <c r="O16" i="5" s="1"/>
  <c r="M17" i="5"/>
  <c r="N17" i="5" s="1"/>
  <c r="O17" i="5" s="1"/>
  <c r="M18" i="5"/>
  <c r="N18" i="5" s="1"/>
  <c r="O18" i="5" s="1"/>
  <c r="M21" i="5"/>
  <c r="M3" i="5"/>
  <c r="N3" i="5" s="1"/>
  <c r="O3" i="5" s="1"/>
  <c r="M4" i="5"/>
  <c r="M7" i="5"/>
  <c r="N7" i="5" s="1"/>
  <c r="O7" i="5" s="1"/>
  <c r="M8" i="5"/>
  <c r="N8" i="5" s="1"/>
  <c r="O8" i="5" s="1"/>
  <c r="M9" i="5"/>
  <c r="M10" i="5"/>
  <c r="N10" i="5" s="1"/>
  <c r="O10" i="5" s="1"/>
  <c r="M11" i="5"/>
  <c r="N11" i="5" s="1"/>
  <c r="O11" i="5" s="1"/>
  <c r="M12" i="5"/>
  <c r="N12" i="5" s="1"/>
  <c r="O12" i="5" s="1"/>
  <c r="C29" i="5"/>
  <c r="C42" i="5"/>
  <c r="D42" i="5" s="1"/>
  <c r="M14" i="5"/>
  <c r="N14" i="5" s="1"/>
  <c r="O14" i="5" s="1"/>
  <c r="M13" i="5"/>
  <c r="N13" i="5" s="1"/>
  <c r="O13" i="5" s="1"/>
  <c r="I13" i="5"/>
  <c r="D30" i="5"/>
  <c r="E30" i="5"/>
  <c r="G30" i="5"/>
  <c r="H30" i="5"/>
  <c r="C30" i="5"/>
  <c r="D33" i="5"/>
  <c r="E33" i="5"/>
  <c r="G33" i="5"/>
  <c r="H33" i="5"/>
  <c r="C33" i="5"/>
  <c r="D32" i="5"/>
  <c r="E32" i="5"/>
  <c r="G32" i="5"/>
  <c r="H32" i="5"/>
  <c r="C32" i="5"/>
  <c r="D31" i="5"/>
  <c r="E31" i="5"/>
  <c r="G31" i="5"/>
  <c r="H31" i="5"/>
  <c r="C31" i="5"/>
  <c r="C28" i="5"/>
  <c r="D28" i="5"/>
  <c r="E28" i="5"/>
  <c r="G28" i="5"/>
  <c r="H28" i="5"/>
  <c r="F7" i="5"/>
  <c r="F8" i="5"/>
  <c r="F11" i="5"/>
  <c r="F12" i="5"/>
  <c r="F13" i="5"/>
  <c r="F14" i="5"/>
  <c r="F15" i="5"/>
  <c r="F16" i="5"/>
  <c r="F17" i="5"/>
  <c r="F18" i="5"/>
  <c r="I7" i="5"/>
  <c r="J7" i="5"/>
  <c r="K7" i="5" s="1"/>
  <c r="I8" i="5"/>
  <c r="J8" i="5"/>
  <c r="K8" i="5" s="1"/>
  <c r="I11" i="5"/>
  <c r="J11" i="5"/>
  <c r="K11" i="5" s="1"/>
  <c r="I12" i="5"/>
  <c r="J12" i="5"/>
  <c r="K12" i="5" s="1"/>
  <c r="J13" i="5"/>
  <c r="K13" i="5" s="1"/>
  <c r="I14" i="5"/>
  <c r="J14" i="5"/>
  <c r="K14" i="5" s="1"/>
  <c r="I15" i="5"/>
  <c r="J15" i="5"/>
  <c r="K15" i="5" s="1"/>
  <c r="I16" i="5"/>
  <c r="J16" i="5"/>
  <c r="K16" i="5" s="1"/>
  <c r="I17" i="5"/>
  <c r="J17" i="5"/>
  <c r="K17" i="5" s="1"/>
  <c r="I18" i="5"/>
  <c r="J18" i="5"/>
  <c r="K18" i="5" s="1"/>
  <c r="M34" i="5" l="1"/>
  <c r="M27" i="5"/>
  <c r="N4" i="5"/>
  <c r="M26" i="5"/>
  <c r="N9" i="5"/>
  <c r="M29" i="5"/>
  <c r="N21" i="5"/>
  <c r="M31" i="5"/>
  <c r="M28" i="5"/>
  <c r="M32" i="5"/>
  <c r="M30" i="5"/>
  <c r="M33" i="5"/>
  <c r="K28" i="5"/>
  <c r="F31" i="5"/>
  <c r="F33" i="5"/>
  <c r="I31" i="5"/>
  <c r="F30" i="5"/>
  <c r="K33" i="5"/>
  <c r="S33" i="5" s="1"/>
  <c r="J33" i="5"/>
  <c r="I33" i="5"/>
  <c r="K32" i="5"/>
  <c r="S32" i="5" s="1"/>
  <c r="K31" i="5"/>
  <c r="S31" i="5" s="1"/>
  <c r="I28" i="5"/>
  <c r="I32" i="5"/>
  <c r="F28" i="5"/>
  <c r="I30" i="5"/>
  <c r="K30" i="5"/>
  <c r="S30" i="5" s="1"/>
  <c r="C43" i="5" s="1"/>
  <c r="D43" i="5" s="1"/>
  <c r="F32" i="5"/>
  <c r="J30" i="5"/>
  <c r="J28" i="5"/>
  <c r="J31" i="5"/>
  <c r="J32" i="5"/>
  <c r="H41" i="2"/>
  <c r="G41" i="2"/>
  <c r="E41" i="2"/>
  <c r="D41" i="2"/>
  <c r="C41" i="2"/>
  <c r="H40" i="2"/>
  <c r="G40" i="2"/>
  <c r="E40" i="2"/>
  <c r="D40" i="2"/>
  <c r="C40" i="2"/>
  <c r="H39" i="2"/>
  <c r="G39" i="2"/>
  <c r="E39" i="2"/>
  <c r="D39" i="2"/>
  <c r="C39" i="2"/>
  <c r="H38" i="2"/>
  <c r="G38" i="2"/>
  <c r="E38" i="2"/>
  <c r="D38" i="2"/>
  <c r="C38" i="2"/>
  <c r="H37" i="2"/>
  <c r="G37" i="2"/>
  <c r="E37" i="2"/>
  <c r="D37" i="2"/>
  <c r="C37" i="2"/>
  <c r="H36" i="2"/>
  <c r="G36" i="2"/>
  <c r="E36" i="2"/>
  <c r="D36" i="2"/>
  <c r="C36" i="2"/>
  <c r="H35" i="2"/>
  <c r="G35" i="2"/>
  <c r="E35" i="2"/>
  <c r="D35" i="2"/>
  <c r="C35" i="2"/>
  <c r="H34" i="2"/>
  <c r="G34" i="2"/>
  <c r="E34" i="2"/>
  <c r="D34" i="2"/>
  <c r="C34" i="2"/>
  <c r="H33" i="2"/>
  <c r="G33" i="2"/>
  <c r="E33" i="2"/>
  <c r="D33" i="2"/>
  <c r="C33" i="2"/>
  <c r="H32" i="2"/>
  <c r="G32" i="2"/>
  <c r="E32" i="2"/>
  <c r="D32" i="2"/>
  <c r="C32" i="2"/>
  <c r="H31" i="2"/>
  <c r="G31" i="2"/>
  <c r="E31" i="2"/>
  <c r="D31" i="2"/>
  <c r="C31" i="2"/>
  <c r="H30" i="2"/>
  <c r="G30" i="2"/>
  <c r="E30" i="2"/>
  <c r="D30" i="2"/>
  <c r="C30" i="2"/>
  <c r="I21" i="2"/>
  <c r="F21" i="2"/>
  <c r="I20" i="2"/>
  <c r="J20" i="2" s="1"/>
  <c r="F20" i="2"/>
  <c r="I19" i="2"/>
  <c r="J19" i="2" s="1"/>
  <c r="K19" i="2" s="1"/>
  <c r="F19" i="2"/>
  <c r="I18" i="2"/>
  <c r="J18" i="2" s="1"/>
  <c r="F18" i="2"/>
  <c r="I17" i="2"/>
  <c r="F17" i="2"/>
  <c r="I16" i="2"/>
  <c r="J16" i="2" s="1"/>
  <c r="K16" i="2" s="1"/>
  <c r="F16" i="2"/>
  <c r="I15" i="2"/>
  <c r="F15" i="2"/>
  <c r="I14" i="2"/>
  <c r="J14" i="2" s="1"/>
  <c r="F14" i="2"/>
  <c r="I13" i="2"/>
  <c r="J13" i="2" s="1"/>
  <c r="K13" i="2" s="1"/>
  <c r="F13" i="2"/>
  <c r="I12" i="2"/>
  <c r="F12" i="2"/>
  <c r="I11" i="2"/>
  <c r="F11" i="2"/>
  <c r="I10" i="2"/>
  <c r="J10" i="2" s="1"/>
  <c r="K10" i="2" s="1"/>
  <c r="F10" i="2"/>
  <c r="I9" i="2"/>
  <c r="I33" i="2" s="1"/>
  <c r="F9" i="2"/>
  <c r="I8" i="2"/>
  <c r="J8" i="2" s="1"/>
  <c r="F8" i="2"/>
  <c r="I7" i="2"/>
  <c r="J7" i="2" s="1"/>
  <c r="K7" i="2" s="1"/>
  <c r="F7" i="2"/>
  <c r="I6" i="2"/>
  <c r="J6" i="2" s="1"/>
  <c r="F6" i="2"/>
  <c r="I5" i="2"/>
  <c r="F5" i="2"/>
  <c r="I4" i="2"/>
  <c r="J4" i="2" s="1"/>
  <c r="K4" i="2" s="1"/>
  <c r="F4" i="2"/>
  <c r="I3" i="2"/>
  <c r="F3" i="2"/>
  <c r="H26" i="5"/>
  <c r="G26" i="5"/>
  <c r="E26" i="5"/>
  <c r="D26" i="5"/>
  <c r="J4" i="5"/>
  <c r="K4" i="5" s="1"/>
  <c r="I4" i="5"/>
  <c r="I26" i="5" s="1"/>
  <c r="F4" i="5"/>
  <c r="K3" i="5"/>
  <c r="F3" i="5"/>
  <c r="J27" i="1"/>
  <c r="H27" i="1"/>
  <c r="G27" i="1"/>
  <c r="E27" i="1"/>
  <c r="D27" i="1"/>
  <c r="C27" i="1"/>
  <c r="J26" i="1"/>
  <c r="I26" i="1"/>
  <c r="H26" i="1"/>
  <c r="G26" i="1"/>
  <c r="E26" i="1"/>
  <c r="D26" i="1"/>
  <c r="C26" i="1"/>
  <c r="J25" i="1"/>
  <c r="I25" i="1"/>
  <c r="H25" i="1"/>
  <c r="G25" i="1"/>
  <c r="E25" i="1"/>
  <c r="D25" i="1"/>
  <c r="C25" i="1"/>
  <c r="J24" i="1"/>
  <c r="I24" i="1"/>
  <c r="H24" i="1"/>
  <c r="G24" i="1"/>
  <c r="E24" i="1"/>
  <c r="D24" i="1"/>
  <c r="C24" i="1"/>
  <c r="J23" i="1"/>
  <c r="I23" i="1"/>
  <c r="H23" i="1"/>
  <c r="G23" i="1"/>
  <c r="E23" i="1"/>
  <c r="D23" i="1"/>
  <c r="K14" i="1"/>
  <c r="F14" i="1"/>
  <c r="K13" i="1"/>
  <c r="F13" i="1"/>
  <c r="K12" i="1"/>
  <c r="F12" i="1"/>
  <c r="K11" i="1"/>
  <c r="K29" i="1" s="1"/>
  <c r="F11" i="1"/>
  <c r="K10" i="1"/>
  <c r="F10" i="1"/>
  <c r="K9" i="1"/>
  <c r="F9" i="1"/>
  <c r="K8" i="1"/>
  <c r="F8" i="1"/>
  <c r="K7" i="1"/>
  <c r="F7" i="1"/>
  <c r="K6" i="1"/>
  <c r="F6" i="1"/>
  <c r="K5" i="1"/>
  <c r="F5" i="1"/>
  <c r="K4" i="1"/>
  <c r="F4" i="1"/>
  <c r="K3" i="1"/>
  <c r="F3" i="1"/>
  <c r="N34" i="5" l="1"/>
  <c r="N27" i="5"/>
  <c r="I38" i="2"/>
  <c r="I41" i="2"/>
  <c r="J21" i="2"/>
  <c r="J41" i="2" s="1"/>
  <c r="I30" i="2"/>
  <c r="F39" i="2"/>
  <c r="F29" i="1"/>
  <c r="F28" i="1"/>
  <c r="F42" i="2"/>
  <c r="F43" i="2"/>
  <c r="F25" i="1"/>
  <c r="J3" i="2"/>
  <c r="I42" i="2"/>
  <c r="I43" i="2"/>
  <c r="K28" i="1"/>
  <c r="K25" i="1"/>
  <c r="F23" i="1"/>
  <c r="K23" i="1"/>
  <c r="S28" i="5"/>
  <c r="C41" i="5" s="1"/>
  <c r="D41" i="5" s="1"/>
  <c r="O4" i="5"/>
  <c r="N26" i="5"/>
  <c r="O9" i="5"/>
  <c r="N29" i="5"/>
  <c r="O21" i="5"/>
  <c r="N33" i="5"/>
  <c r="N31" i="5"/>
  <c r="N28" i="5"/>
  <c r="N32" i="5"/>
  <c r="N30" i="5"/>
  <c r="C44" i="5"/>
  <c r="D44" i="5" s="1"/>
  <c r="C45" i="5"/>
  <c r="D45" i="5" s="1"/>
  <c r="C46" i="5"/>
  <c r="D46" i="5" s="1"/>
  <c r="I36" i="2"/>
  <c r="F26" i="1"/>
  <c r="F32" i="2"/>
  <c r="K26" i="1"/>
  <c r="F35" i="2"/>
  <c r="F40" i="2"/>
  <c r="F24" i="1"/>
  <c r="F27" i="1"/>
  <c r="F31" i="2"/>
  <c r="F37" i="2"/>
  <c r="K27" i="1"/>
  <c r="I37" i="2"/>
  <c r="I35" i="2"/>
  <c r="F34" i="2"/>
  <c r="K24" i="1"/>
  <c r="I34" i="2"/>
  <c r="F30" i="2"/>
  <c r="F33" i="2"/>
  <c r="F36" i="2"/>
  <c r="F38" i="2"/>
  <c r="F41" i="2"/>
  <c r="K20" i="2"/>
  <c r="J40" i="2"/>
  <c r="K6" i="2"/>
  <c r="K8" i="2"/>
  <c r="K14" i="2"/>
  <c r="J36" i="2"/>
  <c r="K18" i="2"/>
  <c r="J39" i="2"/>
  <c r="J5" i="2"/>
  <c r="J9" i="2"/>
  <c r="J11" i="2"/>
  <c r="J15" i="2"/>
  <c r="J17" i="2"/>
  <c r="I31" i="2"/>
  <c r="I39" i="2"/>
  <c r="I32" i="2"/>
  <c r="I40" i="2"/>
  <c r="J12" i="2"/>
  <c r="K26" i="5"/>
  <c r="S26" i="5" s="1"/>
  <c r="C39" i="5" s="1"/>
  <c r="F26" i="5"/>
  <c r="J26" i="5"/>
  <c r="K3" i="2" l="1"/>
  <c r="J43" i="2"/>
  <c r="J42" i="2"/>
  <c r="J31" i="2"/>
  <c r="K39" i="2"/>
  <c r="J32" i="2"/>
  <c r="O27" i="5"/>
  <c r="T27" i="5" s="1"/>
  <c r="E40" i="5" s="1"/>
  <c r="F40" i="5" s="1"/>
  <c r="O34" i="5"/>
  <c r="T34" i="5" s="1"/>
  <c r="E47" i="5" s="1"/>
  <c r="F47" i="5" s="1"/>
  <c r="O29" i="5"/>
  <c r="T29" i="5" s="1"/>
  <c r="E42" i="5" s="1"/>
  <c r="F42" i="5" s="1"/>
  <c r="O26" i="5"/>
  <c r="E39" i="5" s="1"/>
  <c r="F39" i="5" s="1"/>
  <c r="O33" i="5"/>
  <c r="T33" i="5" s="1"/>
  <c r="E46" i="5" s="1"/>
  <c r="F46" i="5" s="1"/>
  <c r="O31" i="5"/>
  <c r="T31" i="5" s="1"/>
  <c r="E44" i="5" s="1"/>
  <c r="F44" i="5" s="1"/>
  <c r="O28" i="5"/>
  <c r="T28" i="5" s="1"/>
  <c r="E41" i="5" s="1"/>
  <c r="F41" i="5" s="1"/>
  <c r="O32" i="5"/>
  <c r="T32" i="5" s="1"/>
  <c r="E45" i="5" s="1"/>
  <c r="F45" i="5" s="1"/>
  <c r="O30" i="5"/>
  <c r="T30" i="5" s="1"/>
  <c r="E43" i="5" s="1"/>
  <c r="F43" i="5" s="1"/>
  <c r="D39" i="5"/>
  <c r="K21" i="2"/>
  <c r="K41" i="2" s="1"/>
  <c r="J38" i="2"/>
  <c r="K17" i="2"/>
  <c r="K38" i="2" s="1"/>
  <c r="K15" i="2"/>
  <c r="K37" i="2" s="1"/>
  <c r="J37" i="2"/>
  <c r="K12" i="2"/>
  <c r="J35" i="2"/>
  <c r="J34" i="2"/>
  <c r="K11" i="2"/>
  <c r="K34" i="2" s="1"/>
  <c r="J33" i="2"/>
  <c r="K9" i="2"/>
  <c r="K33" i="2" s="1"/>
  <c r="J30" i="2"/>
  <c r="K5" i="2"/>
  <c r="K43" i="2" l="1"/>
  <c r="K42" i="2"/>
  <c r="K31" i="2"/>
  <c r="K40" i="2"/>
  <c r="K35" i="2"/>
  <c r="K30" i="2"/>
  <c r="K32" i="2"/>
  <c r="K36" i="2"/>
</calcChain>
</file>

<file path=xl/sharedStrings.xml><?xml version="1.0" encoding="utf-8"?>
<sst xmlns="http://schemas.openxmlformats.org/spreadsheetml/2006/main" count="409" uniqueCount="208">
  <si>
    <t>wB97X-D3/def2-SVP</t>
  </si>
  <si>
    <t>CPCM(DMF)-wB97X-D3/def2-TZVP</t>
  </si>
  <si>
    <t>Molecule</t>
  </si>
  <si>
    <t>SMILES</t>
  </si>
  <si>
    <t>E</t>
  </si>
  <si>
    <t>ZPE</t>
  </si>
  <si>
    <t>H</t>
  </si>
  <si>
    <t>TS</t>
  </si>
  <si>
    <t>G</t>
  </si>
  <si>
    <t>G (1atm)</t>
  </si>
  <si>
    <t>G (1M)</t>
  </si>
  <si>
    <t>oxetane radical</t>
  </si>
  <si>
    <t>COC1=CC=C([C]2COC2)C=C1</t>
  </si>
  <si>
    <t>oxetane-H</t>
  </si>
  <si>
    <t>COC1=CC=C(C2COC2)C=C1</t>
  </si>
  <si>
    <t>cyclobutane-H</t>
  </si>
  <si>
    <t>COC1=CC=C(C2CCC2)C=C1</t>
  </si>
  <si>
    <t>cyclobutane radical</t>
  </si>
  <si>
    <t>COC1=CC=C([C]2CCC2)C=C1</t>
  </si>
  <si>
    <t>COC1=CC=C(C(C)C)C=C1</t>
  </si>
  <si>
    <t>COC1=CC=C([C](C)C)C=C1</t>
  </si>
  <si>
    <t>CC1=CC=C(OC)C=C1</t>
  </si>
  <si>
    <t>COC1=CC=C([C]([H])[H])C=C1</t>
  </si>
  <si>
    <t>cyclopropyl-H</t>
  </si>
  <si>
    <t>COC1=CC=C(C2CC2)C=C1</t>
  </si>
  <si>
    <t>cyclopropyl radical</t>
  </si>
  <si>
    <t>COC1=CC=C([C]2CC2)C=C1</t>
  </si>
  <si>
    <t>THP-H</t>
  </si>
  <si>
    <t>COC1=CC=C(C2CCOCC2)C=C1</t>
  </si>
  <si>
    <t>THP radical</t>
  </si>
  <si>
    <t>COC1=CC=C([C]2CCOCC2)C=C1</t>
  </si>
  <si>
    <t>gem-dimethyl-H</t>
  </si>
  <si>
    <t>gem-dimethyl radical</t>
  </si>
  <si>
    <t>benzyl-H</t>
  </si>
  <si>
    <t>benzyl radical</t>
  </si>
  <si>
    <t>LHS</t>
  </si>
  <si>
    <t>RHS</t>
  </si>
  <si>
    <t>∆E</t>
  </si>
  <si>
    <t>∆ZPE</t>
  </si>
  <si>
    <t>∆H</t>
  </si>
  <si>
    <t>T∆S</t>
  </si>
  <si>
    <t>∆G</t>
  </si>
  <si>
    <t>∆G (1atm)</t>
  </si>
  <si>
    <t>∆G (1M)</t>
  </si>
  <si>
    <t>cyclopropyl radical + oxetane-H</t>
  </si>
  <si>
    <t>cyclopropyl-H + oxetane radical</t>
  </si>
  <si>
    <t>cyclopropyl radical + cyclobutane-H</t>
  </si>
  <si>
    <t>cyclopropyl-H + cyclobutane radical</t>
  </si>
  <si>
    <t>cyclopropyl radical + THP-H</t>
  </si>
  <si>
    <t>cyclopropyl-H + THP radical</t>
  </si>
  <si>
    <t>Species</t>
  </si>
  <si>
    <t>HAT ∆Gr (rel to cyclopropyl)</t>
  </si>
  <si>
    <t>Giese ∆Gr</t>
  </si>
  <si>
    <t>cyclobutane</t>
  </si>
  <si>
    <t>THP</t>
  </si>
  <si>
    <t>oxetane reduced</t>
  </si>
  <si>
    <t>electron</t>
  </si>
  <si>
    <t>Redox</t>
  </si>
  <si>
    <t>SHE / V</t>
  </si>
  <si>
    <t>SCE / V</t>
  </si>
  <si>
    <t>Ered vs SCE / V</t>
  </si>
  <si>
    <t>Ir(dF-CF3-ppy)2(dtbbpy)+</t>
  </si>
  <si>
    <t>Ir(III)/Ir(II)</t>
  </si>
  <si>
    <t>Reaction</t>
  </si>
  <si>
    <t>Photocatalyst</t>
  </si>
  <si>
    <t>∆G / kcal/mol</t>
  </si>
  <si>
    <t>oxetane radical to anion</t>
  </si>
  <si>
    <t>cyclopropyl radical + gem-dimethyl-H</t>
  </si>
  <si>
    <t>cyclopropyl radical + benzyl-H</t>
  </si>
  <si>
    <t>cyclopropyl-H + gem-dimethyl radical</t>
  </si>
  <si>
    <t>cyclopropyl-H + benzyl radical</t>
  </si>
  <si>
    <r>
      <rPr>
        <i/>
        <sz val="12"/>
        <color theme="1"/>
        <rFont val="Calibri"/>
        <family val="2"/>
        <scheme val="minor"/>
      </rPr>
      <t>gem</t>
    </r>
    <r>
      <rPr>
        <sz val="12"/>
        <color theme="1"/>
        <rFont val="Calibri"/>
        <family val="2"/>
        <scheme val="minor"/>
      </rPr>
      <t>-dimethyl radical</t>
    </r>
  </si>
  <si>
    <t>cyclopropane radical</t>
  </si>
  <si>
    <t>benzylic C–C / Å</t>
  </si>
  <si>
    <t>Benzylic spin density</t>
  </si>
  <si>
    <t>Hirshfeld</t>
  </si>
  <si>
    <t>NPA</t>
  </si>
  <si>
    <t>Benzylic NPA spin density</t>
  </si>
  <si>
    <t>∆E(2)(p--&gt;pi*)</t>
  </si>
  <si>
    <t>Number</t>
  </si>
  <si>
    <t>I</t>
  </si>
  <si>
    <t>II</t>
  </si>
  <si>
    <t>III</t>
  </si>
  <si>
    <t>V</t>
  </si>
  <si>
    <t>VI</t>
  </si>
  <si>
    <t>VII</t>
  </si>
  <si>
    <t>benzyl</t>
  </si>
  <si>
    <t xml:space="preserve">cyclopropane </t>
  </si>
  <si>
    <t xml:space="preserve">oxetane </t>
  </si>
  <si>
    <t>gem-dimethyl</t>
  </si>
  <si>
    <t>∆E(2) / kcal/mol</t>
  </si>
  <si>
    <t>p--&gt;pi*</t>
  </si>
  <si>
    <t>-w 45 -ss 1atm (-r -ts)</t>
  </si>
  <si>
    <t>C=CC(OC)=O</t>
  </si>
  <si>
    <t>oxetane TS</t>
  </si>
  <si>
    <t>oxetane adduct</t>
  </si>
  <si>
    <t>cyclobutane TS</t>
  </si>
  <si>
    <t>cyclobutane adduct</t>
  </si>
  <si>
    <t>cyclopropane TS</t>
  </si>
  <si>
    <t>cyclopropane adduct</t>
  </si>
  <si>
    <t>isopropane TS</t>
  </si>
  <si>
    <t>isopropane adduct</t>
  </si>
  <si>
    <t>methylene TS</t>
  </si>
  <si>
    <t>methylene adduct</t>
  </si>
  <si>
    <t>THP TS</t>
  </si>
  <si>
    <t>THP adduct</t>
  </si>
  <si>
    <t>Giese addition</t>
  </si>
  <si>
    <t>acrylate acceptor</t>
  </si>
  <si>
    <t>gem-dimethyl TS</t>
  </si>
  <si>
    <t>gem-dimethyl adduct</t>
  </si>
  <si>
    <t>benzyl TS</t>
  </si>
  <si>
    <t>benzyl adduct</t>
  </si>
  <si>
    <t>Fc / V</t>
  </si>
  <si>
    <t>a</t>
  </si>
  <si>
    <t>b</t>
  </si>
  <si>
    <t>c</t>
  </si>
  <si>
    <t>d</t>
  </si>
  <si>
    <t>e</t>
  </si>
  <si>
    <t>System</t>
  </si>
  <si>
    <t>adduct</t>
  </si>
  <si>
    <t>∆G (1 atm)</t>
  </si>
  <si>
    <t>∆G (1 M)</t>
  </si>
  <si>
    <r>
      <t xml:space="preserve">benzyl radical </t>
    </r>
    <r>
      <rPr>
        <b/>
        <sz val="12"/>
        <color theme="1"/>
        <rFont val="Arial"/>
        <family val="2"/>
      </rPr>
      <t>I</t>
    </r>
  </si>
  <si>
    <r>
      <t xml:space="preserve">cyclopropane radical </t>
    </r>
    <r>
      <rPr>
        <b/>
        <sz val="12"/>
        <color theme="1"/>
        <rFont val="Arial"/>
        <family val="2"/>
      </rPr>
      <t>II</t>
    </r>
  </si>
  <si>
    <r>
      <t xml:space="preserve">oxetane radical </t>
    </r>
    <r>
      <rPr>
        <b/>
        <sz val="12"/>
        <color theme="1"/>
        <rFont val="Arial"/>
        <family val="2"/>
      </rPr>
      <t>III</t>
    </r>
  </si>
  <si>
    <r>
      <t xml:space="preserve">cyclobutane radical </t>
    </r>
    <r>
      <rPr>
        <b/>
        <sz val="12"/>
        <color theme="1"/>
        <rFont val="Arial"/>
        <family val="2"/>
      </rPr>
      <t>V</t>
    </r>
  </si>
  <si>
    <r>
      <t xml:space="preserve">THP radical </t>
    </r>
    <r>
      <rPr>
        <b/>
        <sz val="12"/>
        <color theme="1"/>
        <rFont val="Arial"/>
        <family val="2"/>
      </rPr>
      <t>VI</t>
    </r>
  </si>
  <si>
    <r>
      <rPr>
        <i/>
        <sz val="12"/>
        <color theme="1"/>
        <rFont val="Arial"/>
        <family val="2"/>
      </rPr>
      <t>gem</t>
    </r>
    <r>
      <rPr>
        <sz val="12"/>
        <color theme="1"/>
        <rFont val="Arial"/>
        <family val="2"/>
      </rPr>
      <t xml:space="preserve">-dimethyl radical </t>
    </r>
    <r>
      <rPr>
        <b/>
        <sz val="12"/>
        <color theme="1"/>
        <rFont val="Arial"/>
        <family val="2"/>
      </rPr>
      <t>VII</t>
    </r>
  </si>
  <si>
    <t>Benzylic C–C / Å</t>
  </si>
  <si>
    <t>1-phenyl cyclohexene neutral</t>
  </si>
  <si>
    <t>1-phenyl cyclohexene reduced</t>
  </si>
  <si>
    <t>ethylidene malonate neutral</t>
  </si>
  <si>
    <t>ethylidene malonate reduced</t>
  </si>
  <si>
    <t>methyl acrylate neutral</t>
  </si>
  <si>
    <t>methyl acrylate reduced</t>
  </si>
  <si>
    <t>methyl cinnamate neutral</t>
  </si>
  <si>
    <t>methyl cinnamate reduced</t>
  </si>
  <si>
    <t>styrene neutral</t>
  </si>
  <si>
    <t>styrene reduced</t>
  </si>
  <si>
    <t>C=CC1=CC=CC=C1</t>
  </si>
  <si>
    <t>C1(C2=CCCCC2)=CC=CC=C1</t>
  </si>
  <si>
    <t>O=C(OC)/C=C/C1=CC=CC=C1</t>
  </si>
  <si>
    <t>O=C(OC)/C(C(OC)=O)=C/C</t>
  </si>
  <si>
    <t>1-phenyl cyclohexene neutral to anion</t>
  </si>
  <si>
    <t>ethylidene malonate</t>
  </si>
  <si>
    <t>ethylidene malonate neutral to anion</t>
  </si>
  <si>
    <t>O=C(OC)C1=CCCCC1</t>
  </si>
  <si>
    <t>methyl acrylate neutral to anion</t>
  </si>
  <si>
    <t>methyl cinnamate neutral to anion</t>
  </si>
  <si>
    <t>styrene neutral to anion</t>
  </si>
  <si>
    <t>Expt value</t>
  </si>
  <si>
    <t>methyl cyclohexenyl acrylate neutral</t>
  </si>
  <si>
    <t>methyl cyclohexenyl acrylate reduced</t>
  </si>
  <si>
    <t>methyl cyclohexenyl acrylate neutral to anion</t>
  </si>
  <si>
    <t>-</t>
  </si>
  <si>
    <t>-2.1/-2.6</t>
  </si>
  <si>
    <t>SMD(DMF)-wB97X-D3/ma-def2-TZVP</t>
  </si>
  <si>
    <t>1-phenyl cyclohexene</t>
  </si>
  <si>
    <t>methyl cyclohexenyl acrylate</t>
  </si>
  <si>
    <t>methyl acrylate</t>
  </si>
  <si>
    <t>methyl cinnamate</t>
  </si>
  <si>
    <t>styrene</t>
  </si>
  <si>
    <t>radical to anion</t>
  </si>
  <si>
    <t>neutral to radical anion</t>
  </si>
  <si>
    <t>wB97X-D3</t>
  </si>
  <si>
    <t>M06-2X</t>
  </si>
  <si>
    <t>10.1002/9781118670750 appendix 2</t>
  </si>
  <si>
    <t>Reference</t>
  </si>
  <si>
    <t>Adv. Synth. Catal. 2021, 558</t>
  </si>
  <si>
    <t xml:space="preserve">(vs Fc) </t>
  </si>
  <si>
    <t>∆Eº / V</t>
  </si>
  <si>
    <t>oxetane Giese radical adduct</t>
  </si>
  <si>
    <t>oxetane Giese reduced adduct</t>
  </si>
  <si>
    <t>sulfonyl fluoride neutral</t>
  </si>
  <si>
    <t>sulfonyl fluoride reduced</t>
  </si>
  <si>
    <t>C=CS(F)(=O)=O</t>
  </si>
  <si>
    <t>COC(C=C1)=CC=C1C2(C[C]C(OC)=O)COC2</t>
  </si>
  <si>
    <t>oxetane Giese adduct</t>
  </si>
  <si>
    <t>sulfonyl fluoride</t>
  </si>
  <si>
    <t>oxetane Giese adduct radical to anion</t>
  </si>
  <si>
    <t>sulfonyl fluoride neutral to anion</t>
  </si>
  <si>
    <t>p-CF3-oxetane radical</t>
  </si>
  <si>
    <t>p-CF3-oxetane adduct</t>
  </si>
  <si>
    <t>Ph-oxetane adduct</t>
  </si>
  <si>
    <t>Ph-oxetane radical</t>
  </si>
  <si>
    <t>p-CF3-oxetane-H</t>
  </si>
  <si>
    <t>Ph-oxetane-H</t>
  </si>
  <si>
    <t>cyclopropyl radical + p-CF3-oxetane-H</t>
  </si>
  <si>
    <t>cyclopropyl-H + p-CF3-oxetane radical</t>
  </si>
  <si>
    <t>cyclopropyl radical + Ph-oxetane-H</t>
  </si>
  <si>
    <t>cyclopropyl-H + Ph-oxetane radical</t>
  </si>
  <si>
    <t>FC(C1=CC=C([C]2COC2)C=C1)(F)F</t>
  </si>
  <si>
    <t>FC(C1=CC=C(C2COC2)C=C1)(F)F</t>
  </si>
  <si>
    <t>C1(C2COC2)=CC=CC=C1</t>
  </si>
  <si>
    <t>C1([C]2COC2)=CC=CC=C1</t>
  </si>
  <si>
    <t>f</t>
  </si>
  <si>
    <t>g</t>
  </si>
  <si>
    <t>VIII</t>
  </si>
  <si>
    <t>IX</t>
  </si>
  <si>
    <t>[Ir(III)] + e– --&gt; [Ir(II)]</t>
  </si>
  <si>
    <t>Eº</t>
  </si>
  <si>
    <t>Eº vs SCE</t>
  </si>
  <si>
    <r>
      <rPr>
        <b/>
        <sz val="12"/>
        <color theme="1"/>
        <rFont val="Arial"/>
        <family val="2"/>
      </rPr>
      <t>III</t>
    </r>
    <r>
      <rPr>
        <sz val="12"/>
        <color theme="1"/>
        <rFont val="Arial"/>
        <family val="2"/>
      </rPr>
      <t xml:space="preserve">• + e– --&gt; </t>
    </r>
    <r>
      <rPr>
        <b/>
        <sz val="12"/>
        <color theme="1"/>
        <rFont val="Arial"/>
        <family val="2"/>
      </rPr>
      <t>III</t>
    </r>
    <r>
      <rPr>
        <sz val="12"/>
        <color theme="1"/>
        <rFont val="Arial"/>
        <family val="2"/>
      </rPr>
      <t>–</t>
    </r>
  </si>
  <si>
    <r>
      <rPr>
        <b/>
        <sz val="12"/>
        <color theme="1"/>
        <rFont val="Arial"/>
        <family val="2"/>
      </rPr>
      <t>III</t>
    </r>
    <r>
      <rPr>
        <sz val="12"/>
        <color theme="1"/>
        <rFont val="Arial"/>
        <family val="2"/>
      </rPr>
      <t xml:space="preserve">-adduct• + e– --&gt; </t>
    </r>
    <r>
      <rPr>
        <b/>
        <sz val="12"/>
        <color theme="1"/>
        <rFont val="Arial"/>
        <family val="2"/>
      </rPr>
      <t>III</t>
    </r>
    <r>
      <rPr>
        <sz val="12"/>
        <color theme="1"/>
        <rFont val="Arial"/>
        <family val="2"/>
      </rPr>
      <t>-adduct–</t>
    </r>
  </si>
  <si>
    <t>Process</t>
  </si>
  <si>
    <t>SMD(DMF)-wB97X-D3/def2-TZVP</t>
  </si>
  <si>
    <t>SMD(DMF)-M06-2X/ma-def2-TZVP</t>
  </si>
  <si>
    <t>-1.34a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</si>
</sst>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"/>
    <numFmt numFmtId="166" formatCode="0.00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1C1D1E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0" fillId="0" borderId="0" xfId="0" applyFont="1"/>
    <xf numFmtId="164" fontId="0" fillId="0" borderId="0" xfId="0" applyNumberFormat="1"/>
    <xf numFmtId="165" fontId="0" fillId="0" borderId="0" xfId="0" applyNumberFormat="1" applyFont="1"/>
    <xf numFmtId="165" fontId="0" fillId="0" borderId="0" xfId="0" applyNumberFormat="1"/>
    <xf numFmtId="2" fontId="0" fillId="0" borderId="0" xfId="0" applyNumberFormat="1"/>
    <xf numFmtId="0" fontId="0" fillId="0" borderId="0" xfId="0" applyAlignment="1"/>
    <xf numFmtId="0" fontId="1" fillId="0" borderId="0" xfId="0" applyFont="1" applyAlignment="1"/>
    <xf numFmtId="166" fontId="0" fillId="0" borderId="0" xfId="0" applyNumberFormat="1"/>
    <xf numFmtId="0" fontId="0" fillId="0" borderId="0" xfId="0" quotePrefix="1"/>
    <xf numFmtId="164" fontId="0" fillId="0" borderId="0" xfId="0" applyNumberFormat="1" applyFont="1"/>
    <xf numFmtId="0" fontId="4" fillId="0" borderId="0" xfId="0" applyFont="1"/>
    <xf numFmtId="0" fontId="3" fillId="0" borderId="2" xfId="0" applyFont="1" applyBorder="1"/>
    <xf numFmtId="0" fontId="4" fillId="0" borderId="3" xfId="0" applyFont="1" applyBorder="1"/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0" fontId="0" fillId="0" borderId="3" xfId="0" applyBorder="1"/>
    <xf numFmtId="0" fontId="3" fillId="0" borderId="2" xfId="0" applyFont="1" applyBorder="1" applyAlignment="1"/>
    <xf numFmtId="166" fontId="4" fillId="0" borderId="0" xfId="0" applyNumberFormat="1" applyFont="1"/>
    <xf numFmtId="166" fontId="4" fillId="0" borderId="3" xfId="0" applyNumberFormat="1" applyFont="1" applyBorder="1"/>
    <xf numFmtId="0" fontId="3" fillId="0" borderId="4" xfId="0" applyFont="1" applyBorder="1" applyAlignment="1"/>
    <xf numFmtId="166" fontId="4" fillId="0" borderId="5" xfId="0" applyNumberFormat="1" applyFont="1" applyBorder="1"/>
    <xf numFmtId="166" fontId="4" fillId="0" borderId="6" xfId="0" applyNumberFormat="1" applyFont="1" applyBorder="1"/>
    <xf numFmtId="0" fontId="6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0" xfId="0" applyBorder="1"/>
    <xf numFmtId="0" fontId="4" fillId="0" borderId="3" xfId="0" quotePrefix="1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oxetane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9091-9641-8490-57E7E741D3C6}"/>
                </c:ext>
              </c:extLst>
            </c:dLbl>
            <c:dLbl>
              <c:idx val="1"/>
              <c:layout>
                <c:manualLayout>
                  <c:x val="2.2222268635518655E-2"/>
                  <c:y val="-2.368866328257203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cyclobutane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9091-9641-8490-57E7E741D3C6}"/>
                </c:ext>
              </c:extLst>
            </c:dLbl>
            <c:dLbl>
              <c:idx val="2"/>
              <c:layout>
                <c:manualLayout>
                  <c:x val="-0.10277777777777783"/>
                  <c:y val="-6.42978003384094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gem-dimethyl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091-9641-8490-57E7E741D3C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benzyl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091-9641-8490-57E7E741D3C6}"/>
                </c:ext>
              </c:extLst>
            </c:dLbl>
            <c:dLbl>
              <c:idx val="4"/>
              <c:layout>
                <c:manualLayout>
                  <c:x val="1.2531590049912639E-4"/>
                  <c:y val="2.03045685279187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cyclopropane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9091-9641-8490-57E7E741D3C6}"/>
                </c:ext>
              </c:extLst>
            </c:dLbl>
            <c:dLbl>
              <c:idx val="5"/>
              <c:layout>
                <c:manualLayout>
                  <c:x val="-0.11388888888888889"/>
                  <c:y val="-4.399323181049069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THP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091-9641-8490-57E7E741D3C6}"/>
                </c:ext>
              </c:extLst>
            </c:dLbl>
            <c:dLbl>
              <c:idx val="6"/>
              <c:layout>
                <c:manualLayout>
                  <c:x val="2.9177718832891247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p-CF3-oxetane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23F2-7749-BF00-C44407F32553}"/>
                </c:ext>
              </c:extLst>
            </c:dLbl>
            <c:dLbl>
              <c:idx val="7"/>
              <c:layout>
                <c:manualLayout>
                  <c:x val="2.6525198938992044E-2"/>
                  <c:y val="-3.045685279187817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Ph-oxetane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3F2-7749-BF00-C44407F325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bg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031725721784777"/>
                  <c:y val="1.783124825132899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'Spin density'!$C$3:$C$10</c:f>
              <c:numCache>
                <c:formatCode>General</c:formatCode>
                <c:ptCount val="8"/>
                <c:pt idx="0">
                  <c:v>0.47799999999999998</c:v>
                </c:pt>
                <c:pt idx="1">
                  <c:v>0.48299999999999998</c:v>
                </c:pt>
                <c:pt idx="2">
                  <c:v>0.50700000000000001</c:v>
                </c:pt>
                <c:pt idx="3">
                  <c:v>0.60399999999999998</c:v>
                </c:pt>
                <c:pt idx="4">
                  <c:v>0.47</c:v>
                </c:pt>
                <c:pt idx="5">
                  <c:v>0.48799999999999999</c:v>
                </c:pt>
                <c:pt idx="6" formatCode="0.000">
                  <c:v>0.48396699999999998</c:v>
                </c:pt>
                <c:pt idx="7" formatCode="0.000">
                  <c:v>0.49080000000000001</c:v>
                </c:pt>
              </c:numCache>
            </c:numRef>
          </c:xVal>
          <c:yVal>
            <c:numRef>
              <c:f>'Spin density'!$D$3:$D$10</c:f>
              <c:numCache>
                <c:formatCode>0.000</c:formatCode>
                <c:ptCount val="8"/>
                <c:pt idx="0">
                  <c:v>0.67229000000000005</c:v>
                </c:pt>
                <c:pt idx="1">
                  <c:v>0.67386000000000001</c:v>
                </c:pt>
                <c:pt idx="2">
                  <c:v>0.69969000000000003</c:v>
                </c:pt>
                <c:pt idx="3">
                  <c:v>0.74670999999999998</c:v>
                </c:pt>
                <c:pt idx="4">
                  <c:v>0.66744000000000003</c:v>
                </c:pt>
                <c:pt idx="5">
                  <c:v>0.68306999999999995</c:v>
                </c:pt>
                <c:pt idx="6">
                  <c:v>0.66803000000000001</c:v>
                </c:pt>
                <c:pt idx="7">
                  <c:v>0.67922000000000005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91-9641-8490-57E7E741D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3695168"/>
        <c:axId val="307737664"/>
      </c:scatterChart>
      <c:valAx>
        <c:axId val="583695168"/>
        <c:scaling>
          <c:orientation val="minMax"/>
          <c:min val="0.4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Hirshfeld spin</a:t>
                </a:r>
                <a:r>
                  <a:rPr lang="en-US" sz="14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density / e</a:t>
                </a:r>
                <a:endParaRPr lang="en-US" sz="14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7737664"/>
        <c:crosses val="autoZero"/>
        <c:crossBetween val="midCat"/>
        <c:minorUnit val="2.5000000000000005E-2"/>
      </c:valAx>
      <c:valAx>
        <c:axId val="3077376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NPA spin density / 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0" sourceLinked="1"/>
        <c:majorTickMark val="out"/>
        <c:minorTickMark val="out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83695168"/>
        <c:crosses val="autoZero"/>
        <c:crossBetween val="midCat"/>
        <c:majorUnit val="2.0000000000000004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0310943583984183E-17"/>
                  <c:y val="-9.574468085106382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oxetane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5B28-3243-AD9F-61F741EA8CC9}"/>
                </c:ext>
              </c:extLst>
            </c:dLbl>
            <c:dLbl>
              <c:idx val="1"/>
              <c:layout>
                <c:manualLayout>
                  <c:x val="2.4630541871921093E-2"/>
                  <c:y val="-2.1276595744680851E-2"/>
                </c:manualLayout>
              </c:layout>
              <c:tx>
                <c:rich>
                  <a:bodyPr/>
                  <a:lstStyle/>
                  <a:p>
                    <a:r>
                      <a:rPr lang="en-US" i="0"/>
                      <a:t>cyclobutane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5B28-3243-AD9F-61F741EA8CC9}"/>
                </c:ext>
              </c:extLst>
            </c:dLbl>
            <c:dLbl>
              <c:idx val="2"/>
              <c:layout>
                <c:manualLayout>
                  <c:x val="3.4482758620689655E-2"/>
                  <c:y val="-1.77304964539007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gem-dimethyl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5B28-3243-AD9F-61F741EA8CC9}"/>
                </c:ext>
              </c:extLst>
            </c:dLbl>
            <c:dLbl>
              <c:idx val="3"/>
              <c:layout>
                <c:manualLayout>
                  <c:x val="-1.8062188716796837E-16"/>
                  <c:y val="1.773049645390057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benzyl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B28-3243-AD9F-61F741EA8CC9}"/>
                </c:ext>
              </c:extLst>
            </c:dLbl>
            <c:dLbl>
              <c:idx val="4"/>
              <c:layout>
                <c:manualLayout>
                  <c:x val="-0.14285714285714304"/>
                  <c:y val="6.737588652482269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cyclopropane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5B28-3243-AD9F-61F741EA8CC9}"/>
                </c:ext>
              </c:extLst>
            </c:dLbl>
            <c:dLbl>
              <c:idx val="5"/>
              <c:layout>
                <c:manualLayout>
                  <c:x val="-0.13054187192118236"/>
                  <c:y val="3.900709219858156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THP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5B28-3243-AD9F-61F741EA8C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bg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6.1983631356425271E-4"/>
                  <c:y val="-0.5576489640922544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'Spin density'!$E$3:$E$8</c:f>
              <c:numCache>
                <c:formatCode>General</c:formatCode>
                <c:ptCount val="6"/>
                <c:pt idx="0">
                  <c:v>62.1</c:v>
                </c:pt>
                <c:pt idx="1">
                  <c:v>65.099999999999994</c:v>
                </c:pt>
                <c:pt idx="2">
                  <c:v>59.1</c:v>
                </c:pt>
                <c:pt idx="3">
                  <c:v>51.8</c:v>
                </c:pt>
                <c:pt idx="4">
                  <c:v>66.2</c:v>
                </c:pt>
                <c:pt idx="5">
                  <c:v>60.4</c:v>
                </c:pt>
              </c:numCache>
            </c:numRef>
          </c:xVal>
          <c:yVal>
            <c:numRef>
              <c:f>'Spin density'!$D$3:$D$8</c:f>
              <c:numCache>
                <c:formatCode>0.000</c:formatCode>
                <c:ptCount val="6"/>
                <c:pt idx="0">
                  <c:v>0.67229000000000005</c:v>
                </c:pt>
                <c:pt idx="1">
                  <c:v>0.67386000000000001</c:v>
                </c:pt>
                <c:pt idx="2">
                  <c:v>0.69969000000000003</c:v>
                </c:pt>
                <c:pt idx="3">
                  <c:v>0.74670999999999998</c:v>
                </c:pt>
                <c:pt idx="4">
                  <c:v>0.66744000000000003</c:v>
                </c:pt>
                <c:pt idx="5">
                  <c:v>0.68306999999999995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B28-3243-AD9F-61F741EA8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5516448"/>
        <c:axId val="432178496"/>
      </c:scatterChart>
      <c:valAx>
        <c:axId val="325516448"/>
        <c:scaling>
          <c:orientation val="minMax"/>
          <c:max val="67.5"/>
          <c:min val="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 b="0" i="0" baseline="0">
                    <a:effectLst/>
                  </a:rPr>
                  <a:t>∆E(2) p to pi* / kcal/mol</a:t>
                </a:r>
                <a:endParaRPr lang="en-GB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2178496"/>
        <c:crosses val="autoZero"/>
        <c:crossBetween val="midCat"/>
        <c:majorUnit val="5"/>
        <c:minorUnit val="2.5"/>
      </c:valAx>
      <c:valAx>
        <c:axId val="432178496"/>
        <c:scaling>
          <c:orientation val="minMax"/>
          <c:max val="0.75000000000000011"/>
          <c:min val="0.65000000000000013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NPA spin density / 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0" sourceLinked="1"/>
        <c:majorTickMark val="out"/>
        <c:minorTickMark val="out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25516448"/>
        <c:crosses val="autoZero"/>
        <c:crossBetween val="midCat"/>
        <c:majorUnit val="2.0000000000000004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bg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7946188340807177"/>
                  <c:y val="4.3501872945493535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Figures!$C$2:$C$7</c:f>
              <c:numCache>
                <c:formatCode>0.0</c:formatCode>
                <c:ptCount val="6"/>
                <c:pt idx="0">
                  <c:v>-5.7793578900331246</c:v>
                </c:pt>
                <c:pt idx="1">
                  <c:v>0</c:v>
                </c:pt>
                <c:pt idx="2">
                  <c:v>-8.8372092470174604</c:v>
                </c:pt>
                <c:pt idx="3">
                  <c:v>-11.157737529008529</c:v>
                </c:pt>
                <c:pt idx="4">
                  <c:v>-8.3006890518739134</c:v>
                </c:pt>
                <c:pt idx="5">
                  <c:v>-10.179450997981583</c:v>
                </c:pt>
              </c:numCache>
            </c:numRef>
          </c:xVal>
          <c:yVal>
            <c:numRef>
              <c:f>Figures!$D$2:$D$7</c:f>
              <c:numCache>
                <c:formatCode>0.0</c:formatCode>
                <c:ptCount val="6"/>
                <c:pt idx="0">
                  <c:v>-4.3643837470340952</c:v>
                </c:pt>
                <c:pt idx="1">
                  <c:v>-11.717787494753596</c:v>
                </c:pt>
                <c:pt idx="2">
                  <c:v>-3.7448655148879801</c:v>
                </c:pt>
                <c:pt idx="3">
                  <c:v>-0.97190831870542449</c:v>
                </c:pt>
                <c:pt idx="4">
                  <c:v>3.4033982251468614E-2</c:v>
                </c:pt>
                <c:pt idx="5">
                  <c:v>0.63795893703234874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5FE-4549-A489-AA9AA2D66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1082064"/>
        <c:axId val="450187056"/>
      </c:scatterChart>
      <c:valAx>
        <c:axId val="461082064"/>
        <c:scaling>
          <c:orientation val="minMax"/>
          <c:min val="-1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Relative</a:t>
                </a:r>
                <a:r>
                  <a:rPr lang="en-US" sz="14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r</a:t>
                </a:r>
                <a:r>
                  <a:rPr lang="en-US" sz="14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adical stability / kcal/mol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1"/>
        <c:majorTickMark val="out"/>
        <c:minorTickMark val="out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0187056"/>
        <c:crossesAt val="-16"/>
        <c:crossBetween val="midCat"/>
        <c:majorUnit val="4"/>
        <c:minorUnit val="2"/>
      </c:valAx>
      <c:valAx>
        <c:axId val="450187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Giese ∆Gr / kcal/mol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1"/>
        <c:majorTickMark val="out"/>
        <c:minorTickMark val="out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61082064"/>
        <c:crossesAt val="-12"/>
        <c:crossBetween val="midCat"/>
        <c:majorUnit val="4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Figures!$B$2:$B$7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V</c:v>
                </c:pt>
                <c:pt idx="4">
                  <c:v>VI</c:v>
                </c:pt>
                <c:pt idx="5">
                  <c:v>VII</c:v>
                </c:pt>
              </c:strCache>
            </c:strRef>
          </c:cat>
          <c:val>
            <c:numRef>
              <c:f>Figures!$E$2:$E$7</c:f>
              <c:numCache>
                <c:formatCode>0.000</c:formatCode>
                <c:ptCount val="6"/>
                <c:pt idx="0">
                  <c:v>0.74670999999999998</c:v>
                </c:pt>
                <c:pt idx="1">
                  <c:v>0.66744000000000003</c:v>
                </c:pt>
                <c:pt idx="2">
                  <c:v>0.67229000000000005</c:v>
                </c:pt>
                <c:pt idx="3">
                  <c:v>0.67386000000000001</c:v>
                </c:pt>
                <c:pt idx="4">
                  <c:v>0.68306999999999995</c:v>
                </c:pt>
                <c:pt idx="5">
                  <c:v>0.69969000000000003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A1-2B44-AD63-D4A37DFEF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7794384"/>
        <c:axId val="259279199"/>
      </c:barChart>
      <c:catAx>
        <c:axId val="193779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59279199"/>
        <c:crosses val="autoZero"/>
        <c:auto val="1"/>
        <c:lblAlgn val="ctr"/>
        <c:lblOffset val="100"/>
        <c:noMultiLvlLbl val="0"/>
      </c:catAx>
      <c:valAx>
        <c:axId val="259279199"/>
        <c:scaling>
          <c:orientation val="minMax"/>
          <c:max val="0.7500000000000001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Spin density / </a:t>
                </a:r>
                <a:r>
                  <a:rPr lang="en-US" sz="1400" i="1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</a:t>
                </a:r>
                <a:endParaRPr lang="en-US" sz="14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0" sourceLinked="0"/>
        <c:majorTickMark val="out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37794384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bg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6.1983631356425271E-4"/>
                  <c:y val="-0.5576489640922544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Figures!$F$2:$F$7</c:f>
              <c:numCache>
                <c:formatCode>General</c:formatCode>
                <c:ptCount val="6"/>
                <c:pt idx="0">
                  <c:v>51.8</c:v>
                </c:pt>
                <c:pt idx="1">
                  <c:v>66.2</c:v>
                </c:pt>
                <c:pt idx="2">
                  <c:v>62.1</c:v>
                </c:pt>
                <c:pt idx="3">
                  <c:v>65.099999999999994</c:v>
                </c:pt>
                <c:pt idx="4">
                  <c:v>60.4</c:v>
                </c:pt>
                <c:pt idx="5">
                  <c:v>59.1</c:v>
                </c:pt>
              </c:numCache>
            </c:numRef>
          </c:xVal>
          <c:yVal>
            <c:numRef>
              <c:f>Figures!$E$2:$E$7</c:f>
              <c:numCache>
                <c:formatCode>0.000</c:formatCode>
                <c:ptCount val="6"/>
                <c:pt idx="0">
                  <c:v>0.74670999999999998</c:v>
                </c:pt>
                <c:pt idx="1">
                  <c:v>0.66744000000000003</c:v>
                </c:pt>
                <c:pt idx="2">
                  <c:v>0.67229000000000005</c:v>
                </c:pt>
                <c:pt idx="3">
                  <c:v>0.67386000000000001</c:v>
                </c:pt>
                <c:pt idx="4">
                  <c:v>0.68306999999999995</c:v>
                </c:pt>
                <c:pt idx="5">
                  <c:v>0.69969000000000003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965-944C-BCEB-FA1D300B6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5516448"/>
        <c:axId val="432178496"/>
      </c:scatterChart>
      <c:valAx>
        <c:axId val="325516448"/>
        <c:scaling>
          <c:orientation val="minMax"/>
          <c:max val="67.5"/>
          <c:min val="50"/>
        </c:scaling>
        <c:delete val="0"/>
        <c:axPos val="b"/>
        <c:numFmt formatCode="General" sourceLinked="1"/>
        <c:majorTickMark val="out"/>
        <c:minorTickMark val="out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2178496"/>
        <c:crosses val="autoZero"/>
        <c:crossBetween val="midCat"/>
        <c:majorUnit val="5"/>
        <c:minorUnit val="2.5"/>
      </c:valAx>
      <c:valAx>
        <c:axId val="432178496"/>
        <c:scaling>
          <c:orientation val="minMax"/>
          <c:max val="0.75000000000000011"/>
          <c:min val="0.65000000000000013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Spin density / </a:t>
                </a:r>
                <a:r>
                  <a:rPr lang="en-US" sz="1400" i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0" sourceLinked="1"/>
        <c:majorTickMark val="out"/>
        <c:minorTickMark val="out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25516448"/>
        <c:crosses val="autoZero"/>
        <c:crossBetween val="midCat"/>
        <c:majorUnit val="2.0000000000000004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11</xdr:row>
      <xdr:rowOff>146050</xdr:rowOff>
    </xdr:from>
    <xdr:to>
      <xdr:col>4</xdr:col>
      <xdr:colOff>425450</xdr:colOff>
      <xdr:row>30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F24AD4-89CB-6E47-B048-C0BB44CA1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127000</xdr:colOff>
      <xdr:row>12</xdr:row>
      <xdr:rowOff>0</xdr:rowOff>
    </xdr:from>
    <xdr:to>
      <xdr:col>11</xdr:col>
      <xdr:colOff>330200</xdr:colOff>
      <xdr:row>29</xdr:row>
      <xdr:rowOff>127000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64E03D5-176F-8B42-BE52-1C73CA7ADD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469900</xdr:colOff>
      <xdr:row>11</xdr:row>
      <xdr:rowOff>25400</xdr:rowOff>
    </xdr:from>
    <xdr:to>
      <xdr:col>3</xdr:col>
      <xdr:colOff>501650</xdr:colOff>
      <xdr:row>27</xdr:row>
      <xdr:rowOff>44450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67AE7E3-0B51-8E4E-A68E-5CC9C13170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241300</xdr:colOff>
      <xdr:row>8</xdr:row>
      <xdr:rowOff>152400</xdr:rowOff>
    </xdr:from>
    <xdr:to>
      <xdr:col>8</xdr:col>
      <xdr:colOff>571500</xdr:colOff>
      <xdr:row>26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97DD813-704F-5E47-93A0-B7C3C89ABA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279400</xdr:colOff>
      <xdr:row>9</xdr:row>
      <xdr:rowOff>139700</xdr:rowOff>
    </xdr:from>
    <xdr:to>
      <xdr:col>15</xdr:col>
      <xdr:colOff>482600</xdr:colOff>
      <xdr:row>27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55806BF-EB34-4F40-A698-C5B01AA215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36352-43C1-454F-BA1C-616886F103F1}">
  <dimension ref="A1:K43"/>
  <sheetViews>
    <sheetView topLeftCell="A5" workbookViewId="0">
      <selection activeCell="H34" sqref="H34:J34"/>
    </sheetView>
  </sheetViews>
  <sheetFormatPr baseColWidth="10" defaultRowHeight="16" x14ac:dyDescent="0.2"/>
  <cols>
    <col min="1" max="2" width="32.1640625" bestFit="1" customWidth="1"/>
  </cols>
  <sheetData>
    <row r="1" spans="1:11" x14ac:dyDescent="0.2">
      <c r="C1" s="33" t="s">
        <v>0</v>
      </c>
      <c r="D1" s="33"/>
      <c r="E1" s="33"/>
      <c r="F1" s="33"/>
      <c r="G1" s="33"/>
      <c r="H1" s="33" t="s">
        <v>1</v>
      </c>
      <c r="I1" s="33"/>
      <c r="J1" s="33"/>
      <c r="K1" s="33"/>
    </row>
    <row r="2" spans="1:11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4</v>
      </c>
      <c r="I2" s="1" t="s">
        <v>6</v>
      </c>
      <c r="J2" s="1" t="s">
        <v>9</v>
      </c>
      <c r="K2" s="1" t="s">
        <v>10</v>
      </c>
    </row>
    <row r="3" spans="1:11" x14ac:dyDescent="0.2">
      <c r="A3" s="2" t="s">
        <v>11</v>
      </c>
      <c r="B3" t="s">
        <v>12</v>
      </c>
      <c r="C3" s="3">
        <v>-537.49914999999999</v>
      </c>
      <c r="D3" s="3">
        <v>0.18898200000000001</v>
      </c>
      <c r="E3" s="3">
        <v>-537.29844000000003</v>
      </c>
      <c r="F3" s="3">
        <f>E3-G3</f>
        <v>4.7955999999999221E-2</v>
      </c>
      <c r="G3" s="3">
        <v>-537.34639600000003</v>
      </c>
      <c r="H3" s="3">
        <v>-538.09428800000001</v>
      </c>
      <c r="I3" s="3">
        <f t="shared" ref="I3:I14" si="0">H3+E3-C3</f>
        <v>-537.89357800000005</v>
      </c>
      <c r="J3" s="3">
        <f t="shared" ref="J3:J14" si="1">H3+G3-C3</f>
        <v>-537.94153400000016</v>
      </c>
      <c r="K3" s="3">
        <f>J3+0.00302</f>
        <v>-537.93851400000017</v>
      </c>
    </row>
    <row r="4" spans="1:11" x14ac:dyDescent="0.2">
      <c r="A4" t="s">
        <v>13</v>
      </c>
      <c r="B4" t="s">
        <v>14</v>
      </c>
      <c r="C4" s="3">
        <v>-538.14924699999995</v>
      </c>
      <c r="D4" s="3">
        <v>0.203343</v>
      </c>
      <c r="E4" s="3">
        <v>-537.93433500000003</v>
      </c>
      <c r="F4" s="3">
        <f t="shared" ref="F4:F18" si="2">E4-G4</f>
        <v>4.7624999999925421E-2</v>
      </c>
      <c r="G4" s="3">
        <v>-537.98195999999996</v>
      </c>
      <c r="H4" s="3">
        <v>-538.74405899999999</v>
      </c>
      <c r="I4" s="3">
        <f t="shared" si="0"/>
        <v>-538.52914700000008</v>
      </c>
      <c r="J4" s="3">
        <f t="shared" si="1"/>
        <v>-538.57677200000001</v>
      </c>
      <c r="K4" s="3">
        <f t="shared" ref="K4:K14" si="3">J4+0.00302</f>
        <v>-538.57375200000001</v>
      </c>
    </row>
    <row r="5" spans="1:11" x14ac:dyDescent="0.2">
      <c r="A5" t="s">
        <v>15</v>
      </c>
      <c r="B5" t="s">
        <v>16</v>
      </c>
      <c r="C5" s="3">
        <v>-502.298137</v>
      </c>
      <c r="D5" s="3">
        <v>0.22673399999999999</v>
      </c>
      <c r="E5" s="3">
        <v>-502.05951900000002</v>
      </c>
      <c r="F5" s="3">
        <f t="shared" si="2"/>
        <v>4.8184999999989486E-2</v>
      </c>
      <c r="G5" s="3">
        <v>-502.10770400000001</v>
      </c>
      <c r="H5" s="3">
        <v>-502.83930500000002</v>
      </c>
      <c r="I5" s="3">
        <f t="shared" si="0"/>
        <v>-502.60068700000011</v>
      </c>
      <c r="J5" s="3">
        <f t="shared" si="1"/>
        <v>-502.64887199999998</v>
      </c>
      <c r="K5" s="3">
        <f t="shared" si="3"/>
        <v>-502.64585199999999</v>
      </c>
    </row>
    <row r="6" spans="1:11" x14ac:dyDescent="0.2">
      <c r="A6" t="s">
        <v>17</v>
      </c>
      <c r="B6" t="s">
        <v>18</v>
      </c>
      <c r="C6" s="3">
        <v>-501.652916</v>
      </c>
      <c r="D6" s="3">
        <v>0.21224399999999999</v>
      </c>
      <c r="E6" s="3">
        <v>-501.42846100000003</v>
      </c>
      <c r="F6" s="3">
        <f t="shared" si="2"/>
        <v>4.8896999999954005E-2</v>
      </c>
      <c r="G6" s="3">
        <v>-501.47735799999998</v>
      </c>
      <c r="H6" s="3">
        <v>-502.19288999999998</v>
      </c>
      <c r="I6" s="3">
        <f t="shared" si="0"/>
        <v>-501.968435</v>
      </c>
      <c r="J6" s="3">
        <f t="shared" si="1"/>
        <v>-502.0173319999999</v>
      </c>
      <c r="K6" s="3">
        <f t="shared" si="3"/>
        <v>-502.0143119999999</v>
      </c>
    </row>
    <row r="7" spans="1:11" x14ac:dyDescent="0.2">
      <c r="A7" t="s">
        <v>31</v>
      </c>
      <c r="B7" t="s">
        <v>19</v>
      </c>
      <c r="C7" s="3">
        <v>-464.257768</v>
      </c>
      <c r="D7" s="3">
        <v>0.219162</v>
      </c>
      <c r="E7" s="3">
        <v>-464.026546</v>
      </c>
      <c r="F7" s="3">
        <f t="shared" si="2"/>
        <v>4.8187999999981912E-2</v>
      </c>
      <c r="G7" s="3">
        <v>-464.07473399999998</v>
      </c>
      <c r="H7" s="3">
        <v>-464.76140900000001</v>
      </c>
      <c r="I7" s="3">
        <f t="shared" si="0"/>
        <v>-464.53018700000001</v>
      </c>
      <c r="J7" s="3">
        <f t="shared" si="1"/>
        <v>-464.57837499999999</v>
      </c>
      <c r="K7" s="3">
        <f t="shared" si="3"/>
        <v>-464.575355</v>
      </c>
    </row>
    <row r="8" spans="1:11" x14ac:dyDescent="0.2">
      <c r="A8" t="s">
        <v>32</v>
      </c>
      <c r="B8" t="s">
        <v>20</v>
      </c>
      <c r="C8" s="3">
        <v>-463.61100099999999</v>
      </c>
      <c r="D8" s="3">
        <v>0.20491400000000001</v>
      </c>
      <c r="E8" s="3">
        <v>-463.39365400000003</v>
      </c>
      <c r="F8" s="3">
        <f t="shared" si="2"/>
        <v>4.8901000000000749E-2</v>
      </c>
      <c r="G8" s="3">
        <v>-463.44255500000003</v>
      </c>
      <c r="H8" s="3">
        <v>-464.11372399999999</v>
      </c>
      <c r="I8" s="3">
        <f t="shared" si="0"/>
        <v>-463.89637700000003</v>
      </c>
      <c r="J8" s="3">
        <f t="shared" si="1"/>
        <v>-463.94527800000003</v>
      </c>
      <c r="K8" s="3">
        <f t="shared" si="3"/>
        <v>-463.94225800000004</v>
      </c>
    </row>
    <row r="9" spans="1:11" x14ac:dyDescent="0.2">
      <c r="A9" t="s">
        <v>33</v>
      </c>
      <c r="B9" t="s">
        <v>21</v>
      </c>
      <c r="C9" s="3">
        <v>-385.70331800000002</v>
      </c>
      <c r="D9" s="3">
        <v>0.16201199999999999</v>
      </c>
      <c r="E9" s="3">
        <v>-385.53183100000001</v>
      </c>
      <c r="F9" s="3">
        <f t="shared" si="2"/>
        <v>4.2435000000011769E-2</v>
      </c>
      <c r="G9" s="3">
        <v>-385.57426600000002</v>
      </c>
      <c r="H9" s="3">
        <v>-386.12496199999998</v>
      </c>
      <c r="I9" s="3">
        <f t="shared" si="0"/>
        <v>-385.95347499999997</v>
      </c>
      <c r="J9" s="3">
        <f t="shared" si="1"/>
        <v>-385.99590999999992</v>
      </c>
      <c r="K9" s="3">
        <f t="shared" si="3"/>
        <v>-385.99288999999993</v>
      </c>
    </row>
    <row r="10" spans="1:11" x14ac:dyDescent="0.2">
      <c r="A10" t="s">
        <v>34</v>
      </c>
      <c r="B10" t="s">
        <v>22</v>
      </c>
      <c r="C10" s="3">
        <v>-385.04979800000001</v>
      </c>
      <c r="D10" s="3">
        <v>0.14852699999999999</v>
      </c>
      <c r="E10" s="3">
        <v>-384.89222699999999</v>
      </c>
      <c r="F10" s="3">
        <f t="shared" si="2"/>
        <v>4.1443000000015218E-2</v>
      </c>
      <c r="G10" s="3">
        <v>-384.93367000000001</v>
      </c>
      <c r="H10" s="3">
        <v>-385.47192699999999</v>
      </c>
      <c r="I10" s="3">
        <f t="shared" si="0"/>
        <v>-385.31435599999998</v>
      </c>
      <c r="J10" s="3">
        <f t="shared" si="1"/>
        <v>-385.35579899999993</v>
      </c>
      <c r="K10" s="3">
        <f t="shared" si="3"/>
        <v>-385.35277899999994</v>
      </c>
    </row>
    <row r="11" spans="1:11" x14ac:dyDescent="0.2">
      <c r="A11" t="s">
        <v>23</v>
      </c>
      <c r="B11" t="s">
        <v>24</v>
      </c>
      <c r="C11" s="3">
        <v>-463.01739900000001</v>
      </c>
      <c r="D11" s="3">
        <v>0.19700799999999999</v>
      </c>
      <c r="E11" s="3">
        <v>-462.80949500000003</v>
      </c>
      <c r="F11" s="3">
        <f t="shared" si="2"/>
        <v>4.585599999995793E-2</v>
      </c>
      <c r="G11" s="3">
        <v>-462.85535099999998</v>
      </c>
      <c r="H11" s="3">
        <v>-463.51955400000003</v>
      </c>
      <c r="I11" s="3">
        <f t="shared" si="0"/>
        <v>-463.31165000000004</v>
      </c>
      <c r="J11" s="3">
        <f t="shared" si="1"/>
        <v>-463.357506</v>
      </c>
      <c r="K11" s="3">
        <f t="shared" si="3"/>
        <v>-463.35448600000001</v>
      </c>
    </row>
    <row r="12" spans="1:11" x14ac:dyDescent="0.2">
      <c r="A12" t="s">
        <v>25</v>
      </c>
      <c r="B12" t="s">
        <v>26</v>
      </c>
      <c r="C12" s="3">
        <v>-462.35480999999999</v>
      </c>
      <c r="D12" s="3">
        <v>0.182477</v>
      </c>
      <c r="E12" s="3">
        <v>-462.161047</v>
      </c>
      <c r="F12" s="3">
        <f t="shared" si="2"/>
        <v>4.6756000000016229E-2</v>
      </c>
      <c r="G12" s="3">
        <v>-462.20780300000001</v>
      </c>
      <c r="H12" s="3">
        <v>-462.85519299999999</v>
      </c>
      <c r="I12" s="3">
        <f t="shared" si="0"/>
        <v>-462.66142999999994</v>
      </c>
      <c r="J12" s="3">
        <f t="shared" si="1"/>
        <v>-462.70818600000001</v>
      </c>
      <c r="K12" s="3">
        <f t="shared" si="3"/>
        <v>-462.70516600000002</v>
      </c>
    </row>
    <row r="13" spans="1:11" x14ac:dyDescent="0.2">
      <c r="A13" t="s">
        <v>27</v>
      </c>
      <c r="B13" t="s">
        <v>28</v>
      </c>
      <c r="C13" s="3">
        <v>-616.74094100000002</v>
      </c>
      <c r="D13" s="3">
        <v>0.262488</v>
      </c>
      <c r="E13" s="3">
        <v>-616.46504700000003</v>
      </c>
      <c r="F13" s="3">
        <f t="shared" si="2"/>
        <v>5.1564999999982319E-2</v>
      </c>
      <c r="G13" s="3">
        <v>-616.51661200000001</v>
      </c>
      <c r="H13" s="3">
        <v>-617.41564300000005</v>
      </c>
      <c r="I13" s="3">
        <f t="shared" si="0"/>
        <v>-617.13974899999994</v>
      </c>
      <c r="J13" s="3">
        <f t="shared" si="1"/>
        <v>-617.19131400000015</v>
      </c>
      <c r="K13" s="3">
        <f t="shared" si="3"/>
        <v>-617.18829400000016</v>
      </c>
    </row>
    <row r="14" spans="1:11" x14ac:dyDescent="0.2">
      <c r="A14" t="s">
        <v>29</v>
      </c>
      <c r="B14" t="s">
        <v>30</v>
      </c>
      <c r="C14" s="3">
        <v>-616.09213199999999</v>
      </c>
      <c r="D14" s="3">
        <v>0.248969</v>
      </c>
      <c r="E14" s="3">
        <v>-615.82962399999997</v>
      </c>
      <c r="F14" s="3">
        <f t="shared" si="2"/>
        <v>5.1738000000000284E-2</v>
      </c>
      <c r="G14" s="3">
        <v>-615.88136199999997</v>
      </c>
      <c r="H14" s="3">
        <v>-616.76598999999999</v>
      </c>
      <c r="I14" s="3">
        <f t="shared" si="0"/>
        <v>-616.50348199999985</v>
      </c>
      <c r="J14" s="3">
        <f t="shared" si="1"/>
        <v>-616.55521999999996</v>
      </c>
      <c r="K14" s="3">
        <f t="shared" si="3"/>
        <v>-616.55219999999997</v>
      </c>
    </row>
    <row r="15" spans="1:11" x14ac:dyDescent="0.2">
      <c r="A15" t="s">
        <v>181</v>
      </c>
      <c r="B15" t="s">
        <v>191</v>
      </c>
      <c r="C15" s="3">
        <v>-759.80305366505604</v>
      </c>
      <c r="D15" s="3">
        <v>0.16133686999999999</v>
      </c>
      <c r="E15" s="3">
        <v>-759.62902078203001</v>
      </c>
      <c r="F15" s="3">
        <f t="shared" si="2"/>
        <v>5.1465825777995633E-2</v>
      </c>
      <c r="G15" s="3">
        <v>-759.68048660780801</v>
      </c>
      <c r="H15" s="3">
        <v>-760.672124011145</v>
      </c>
      <c r="I15" s="3">
        <f>H15+E15-C15</f>
        <v>-760.49809112811886</v>
      </c>
      <c r="J15" s="3">
        <f>H15+G15-C15</f>
        <v>-760.54955695389685</v>
      </c>
      <c r="K15" s="3">
        <f t="shared" ref="K15:K18" si="4">J15+0.00302</f>
        <v>-760.54653695389686</v>
      </c>
    </row>
    <row r="16" spans="1:11" x14ac:dyDescent="0.2">
      <c r="A16" t="s">
        <v>185</v>
      </c>
      <c r="B16" t="s">
        <v>192</v>
      </c>
      <c r="C16" s="3">
        <v>-760.45318250340301</v>
      </c>
      <c r="D16" s="3">
        <v>0.17578724000000001</v>
      </c>
      <c r="E16" s="3">
        <v>-760.26484168859395</v>
      </c>
      <c r="F16" s="3">
        <f t="shared" si="2"/>
        <v>5.1401852896105993E-2</v>
      </c>
      <c r="G16" s="3">
        <v>-760.31624354149005</v>
      </c>
      <c r="H16" s="3">
        <v>-761.32159406593405</v>
      </c>
      <c r="I16" s="3">
        <f>H16+E16-C16</f>
        <v>-761.13325325112487</v>
      </c>
      <c r="J16" s="3">
        <f t="shared" ref="J16:J18" si="5">H16+G16-C16</f>
        <v>-761.18465510402098</v>
      </c>
      <c r="K16" s="3">
        <f t="shared" si="4"/>
        <v>-761.18163510402098</v>
      </c>
    </row>
    <row r="17" spans="1:11" x14ac:dyDescent="0.2">
      <c r="A17" t="s">
        <v>184</v>
      </c>
      <c r="B17" t="s">
        <v>194</v>
      </c>
      <c r="C17">
        <v>-423.09036948218801</v>
      </c>
      <c r="D17" s="3">
        <v>0.15610447999999999</v>
      </c>
      <c r="E17">
        <v>-422.92512615693198</v>
      </c>
      <c r="F17" s="3">
        <f t="shared" si="2"/>
        <v>4.1993745334991672E-2</v>
      </c>
      <c r="G17">
        <v>-422.96711990226697</v>
      </c>
      <c r="H17">
        <v>-423.55314891616501</v>
      </c>
      <c r="I17" s="3">
        <f t="shared" ref="I17:I18" si="6">H17+E17-C17</f>
        <v>-423.38790559090893</v>
      </c>
      <c r="J17" s="3">
        <f t="shared" si="5"/>
        <v>-423.42989933624398</v>
      </c>
      <c r="K17" s="3">
        <f t="shared" si="4"/>
        <v>-423.42687933624399</v>
      </c>
    </row>
    <row r="18" spans="1:11" x14ac:dyDescent="0.2">
      <c r="A18" t="s">
        <v>186</v>
      </c>
      <c r="B18" t="s">
        <v>193</v>
      </c>
      <c r="C18">
        <v>-423.74064444084502</v>
      </c>
      <c r="D18" s="3">
        <v>0.17057182000000001</v>
      </c>
      <c r="E18">
        <v>-423.56108471529097</v>
      </c>
      <c r="F18" s="3">
        <f t="shared" si="2"/>
        <v>4.2564298404045076E-2</v>
      </c>
      <c r="G18">
        <v>-423.60364901369502</v>
      </c>
      <c r="H18">
        <v>-424.20308386746802</v>
      </c>
      <c r="I18" s="3">
        <f t="shared" si="6"/>
        <v>-424.02352414191398</v>
      </c>
      <c r="J18" s="3">
        <f t="shared" si="5"/>
        <v>-424.06608844031803</v>
      </c>
      <c r="K18" s="3">
        <f t="shared" si="4"/>
        <v>-424.06306844031803</v>
      </c>
    </row>
    <row r="22" spans="1:11" x14ac:dyDescent="0.2">
      <c r="A22" s="1" t="s">
        <v>35</v>
      </c>
      <c r="B22" s="1" t="s">
        <v>36</v>
      </c>
      <c r="C22" s="1" t="s">
        <v>37</v>
      </c>
      <c r="D22" s="1" t="s">
        <v>38</v>
      </c>
      <c r="E22" s="1" t="s">
        <v>39</v>
      </c>
      <c r="F22" s="1" t="s">
        <v>40</v>
      </c>
      <c r="G22" s="1" t="s">
        <v>41</v>
      </c>
      <c r="H22" s="1" t="s">
        <v>37</v>
      </c>
      <c r="I22" s="1" t="s">
        <v>39</v>
      </c>
      <c r="J22" s="1" t="s">
        <v>42</v>
      </c>
      <c r="K22" s="1" t="s">
        <v>43</v>
      </c>
    </row>
    <row r="23" spans="1:11" x14ac:dyDescent="0.2">
      <c r="A23" t="s">
        <v>44</v>
      </c>
      <c r="B23" s="2" t="s">
        <v>45</v>
      </c>
      <c r="C23" s="4">
        <f>((C3+C$11)-(C$12+C4))*627.509</f>
        <v>-7.8388424280412101</v>
      </c>
      <c r="D23" s="4">
        <f t="shared" ref="D23:J23" si="7">((D3+D$11)-(D$12+D4))*627.509</f>
        <v>0.10667653000000218</v>
      </c>
      <c r="E23" s="4">
        <f t="shared" si="7"/>
        <v>-7.8771204770159073</v>
      </c>
      <c r="F23" s="4">
        <f t="shared" si="7"/>
        <v>-0.35705262099027274</v>
      </c>
      <c r="G23" s="4">
        <f t="shared" si="7"/>
        <v>-7.5200678560613046</v>
      </c>
      <c r="H23" s="4">
        <f t="shared" si="7"/>
        <v>-9.1553563099989503</v>
      </c>
      <c r="I23" s="4">
        <f t="shared" si="7"/>
        <v>-9.1936343589736467</v>
      </c>
      <c r="J23" s="4">
        <f t="shared" si="7"/>
        <v>-8.8365817380903842</v>
      </c>
      <c r="K23" s="4">
        <f>((K3+K$11)-(K$12+K4))*627.509</f>
        <v>-8.8365817380903842</v>
      </c>
    </row>
    <row r="24" spans="1:11" x14ac:dyDescent="0.2">
      <c r="A24" t="s">
        <v>46</v>
      </c>
      <c r="B24" t="s">
        <v>47</v>
      </c>
      <c r="C24" s="4">
        <f>((C6+C$11)-(C$12+C5))*627.509</f>
        <v>-10.898576312020793</v>
      </c>
      <c r="D24" s="4">
        <f t="shared" ref="D24:K24" si="8">((D6+D$11)-(D$12+D5))*627.509</f>
        <v>2.572786899997348E-2</v>
      </c>
      <c r="E24" s="4">
        <f t="shared" si="8"/>
        <v>-10.912381510057278</v>
      </c>
      <c r="F24" s="4">
        <f t="shared" si="8"/>
        <v>-0.11797169205884768</v>
      </c>
      <c r="G24" s="4">
        <f t="shared" si="8"/>
        <v>-10.79440981799843</v>
      </c>
      <c r="H24" s="4">
        <f t="shared" si="8"/>
        <v>-11.261276513961137</v>
      </c>
      <c r="I24" s="4">
        <f t="shared" si="8"/>
        <v>-11.27508171206896</v>
      </c>
      <c r="J24" s="4">
        <f t="shared" si="8"/>
        <v>-11.157110019938774</v>
      </c>
      <c r="K24" s="4">
        <f t="shared" si="8"/>
        <v>-11.157110019938774</v>
      </c>
    </row>
    <row r="25" spans="1:11" x14ac:dyDescent="0.2">
      <c r="A25" t="s">
        <v>67</v>
      </c>
      <c r="B25" t="s">
        <v>69</v>
      </c>
      <c r="C25" s="4">
        <f>((C8+C$11)-(C$12+C7))*627.509</f>
        <v>-9.9284473980445895</v>
      </c>
      <c r="D25" s="4">
        <f t="shared" ref="D25:K25" si="9">((D8+D$11)-(D$12+D7))*627.509</f>
        <v>0.17758504700002084</v>
      </c>
      <c r="E25" s="4">
        <f t="shared" si="9"/>
        <v>-9.7615300040379775</v>
      </c>
      <c r="F25" s="4">
        <f t="shared" si="9"/>
        <v>-0.11734418302476224</v>
      </c>
      <c r="G25" s="4">
        <f t="shared" si="9"/>
        <v>-9.6441858209775457</v>
      </c>
      <c r="H25" s="4">
        <f t="shared" si="9"/>
        <v>-10.464340083975701</v>
      </c>
      <c r="I25" s="4">
        <f t="shared" si="9"/>
        <v>-10.29742269011177</v>
      </c>
      <c r="J25" s="4">
        <f t="shared" si="9"/>
        <v>-10.180078506979997</v>
      </c>
      <c r="K25" s="4">
        <f t="shared" si="9"/>
        <v>-10.180078506979997</v>
      </c>
    </row>
    <row r="26" spans="1:11" x14ac:dyDescent="0.2">
      <c r="A26" t="s">
        <v>68</v>
      </c>
      <c r="B26" t="s">
        <v>70</v>
      </c>
      <c r="C26" s="4">
        <f>((C10+C$11)-(C$12+C9))*627.509</f>
        <v>-5.6908791210424932</v>
      </c>
      <c r="D26" s="4">
        <f t="shared" ref="D26:K26" si="10">((D10+D$11)-(D$12+D9))*627.509</f>
        <v>0.65637441399999463</v>
      </c>
      <c r="E26" s="4">
        <f t="shared" si="10"/>
        <v>-5.5496895959709258</v>
      </c>
      <c r="F26" s="4">
        <f t="shared" si="10"/>
        <v>-1.1872470280344187</v>
      </c>
      <c r="G26" s="4">
        <f t="shared" si="10"/>
        <v>-4.3624425679721766</v>
      </c>
      <c r="H26" s="4">
        <f t="shared" si="10"/>
        <v>-7.1071669340336863</v>
      </c>
      <c r="I26" s="4">
        <f t="shared" si="10"/>
        <v>-6.9659774090334574</v>
      </c>
      <c r="J26" s="4">
        <f t="shared" si="10"/>
        <v>-5.778730381034709</v>
      </c>
      <c r="K26" s="4">
        <f t="shared" si="10"/>
        <v>-5.778730381034709</v>
      </c>
    </row>
    <row r="27" spans="1:11" x14ac:dyDescent="0.2">
      <c r="A27" t="s">
        <v>48</v>
      </c>
      <c r="B27" t="s">
        <v>49</v>
      </c>
      <c r="C27" s="4">
        <f>((C14+C$11)-(C$12+C13))*627.509</f>
        <v>-8.6470740199981275</v>
      </c>
      <c r="D27" s="4">
        <f t="shared" ref="D27:K27" si="11">((D14+D$11)-(D$12+D13))*627.509</f>
        <v>0.63503910799997332</v>
      </c>
      <c r="E27" s="4">
        <f t="shared" si="11"/>
        <v>-8.1733047249815094</v>
      </c>
      <c r="F27" s="4">
        <f t="shared" si="11"/>
        <v>-0.45619904302531011</v>
      </c>
      <c r="G27" s="4">
        <f t="shared" si="11"/>
        <v>-7.717105681920529</v>
      </c>
      <c r="H27" s="4">
        <f t="shared" si="11"/>
        <v>-9.2294023719546807</v>
      </c>
      <c r="I27" s="4">
        <f>((I14+I$11)-(I$12+I13))*627.509</f>
        <v>-8.7556330770807413</v>
      </c>
      <c r="J27" s="4">
        <f t="shared" si="11"/>
        <v>-8.2994340338770822</v>
      </c>
      <c r="K27" s="4">
        <f t="shared" si="11"/>
        <v>-8.2994340338770822</v>
      </c>
    </row>
    <row r="28" spans="1:11" x14ac:dyDescent="0.2">
      <c r="A28" t="s">
        <v>187</v>
      </c>
      <c r="B28" t="s">
        <v>188</v>
      </c>
      <c r="C28" s="4">
        <f>((C15+C$11)-(C$12+C16))*627.509</f>
        <v>-7.8188635787454075</v>
      </c>
      <c r="D28" s="4">
        <f t="shared" ref="D28:G28" si="12">((D15+D$11)-(D$12+D16))*627.509</f>
        <v>5.0596050669981456E-2</v>
      </c>
      <c r="E28" s="4">
        <f t="shared" si="12"/>
        <v>-7.9236147749902761</v>
      </c>
      <c r="F28" s="4">
        <f t="shared" si="12"/>
        <v>-0.52461454089489679</v>
      </c>
      <c r="G28" s="4">
        <f t="shared" si="12"/>
        <v>-7.3990002341310488</v>
      </c>
      <c r="H28" s="4">
        <f>((H15+H$11)-(H$12+H16))*627.509</f>
        <v>-9.3442021383695391</v>
      </c>
      <c r="I28" s="4">
        <f>((I15+I$11)-(I$12+I16))*627.509</f>
        <v>-9.4489533347570873</v>
      </c>
      <c r="J28" s="4">
        <f t="shared" ref="J28:K28" si="13">((J15+J$11)-(J$12+J16))*627.509</f>
        <v>-8.9243387937551812</v>
      </c>
      <c r="K28" s="4">
        <f t="shared" si="13"/>
        <v>-8.9243387937551812</v>
      </c>
    </row>
    <row r="29" spans="1:11" x14ac:dyDescent="0.2">
      <c r="A29" t="s">
        <v>189</v>
      </c>
      <c r="B29" t="s">
        <v>190</v>
      </c>
      <c r="C29" s="4">
        <f>((C17+C$11)-(C$12+C18))*627.509</f>
        <v>-7.7271717690801083</v>
      </c>
      <c r="D29" s="4">
        <f t="shared" ref="D29:K29" si="14">((D17+D$11)-(D$12+D18))*627.509</f>
        <v>3.9947222939943461E-2</v>
      </c>
      <c r="E29" s="4">
        <f t="shared" si="14"/>
        <v>-7.8372370347255167</v>
      </c>
      <c r="F29" s="4">
        <f t="shared" si="14"/>
        <v>-0.92278528584521502</v>
      </c>
      <c r="G29" s="4">
        <f t="shared" si="14"/>
        <v>-6.9144517488803015</v>
      </c>
      <c r="H29" s="4">
        <f t="shared" si="14"/>
        <v>-9.0524753918261407</v>
      </c>
      <c r="I29" s="4">
        <f t="shared" si="14"/>
        <v>-9.1625406574002088</v>
      </c>
      <c r="J29" s="4">
        <f t="shared" si="14"/>
        <v>-8.2397553715549936</v>
      </c>
      <c r="K29" s="4">
        <f t="shared" si="14"/>
        <v>-8.2397553715549936</v>
      </c>
    </row>
    <row r="34" spans="2:10" x14ac:dyDescent="0.2">
      <c r="B34" s="15"/>
      <c r="C34" s="34" t="s">
        <v>0</v>
      </c>
      <c r="D34" s="34"/>
      <c r="E34" s="34"/>
      <c r="F34" s="34"/>
      <c r="G34" s="34"/>
      <c r="H34" s="35" t="s">
        <v>205</v>
      </c>
      <c r="I34" s="34"/>
      <c r="J34" s="34"/>
    </row>
    <row r="35" spans="2:10" x14ac:dyDescent="0.2">
      <c r="B35" s="16" t="s">
        <v>63</v>
      </c>
      <c r="C35" s="16" t="s">
        <v>37</v>
      </c>
      <c r="D35" s="16" t="s">
        <v>38</v>
      </c>
      <c r="E35" s="16" t="s">
        <v>39</v>
      </c>
      <c r="F35" s="16" t="s">
        <v>40</v>
      </c>
      <c r="G35" s="17" t="s">
        <v>41</v>
      </c>
      <c r="H35" s="16" t="s">
        <v>37</v>
      </c>
      <c r="I35" s="16" t="s">
        <v>39</v>
      </c>
      <c r="J35" s="16" t="s">
        <v>41</v>
      </c>
    </row>
    <row r="36" spans="2:10" x14ac:dyDescent="0.2">
      <c r="B36" s="18" t="s">
        <v>113</v>
      </c>
      <c r="C36" s="19">
        <v>-5.6908791210424932</v>
      </c>
      <c r="D36" s="19">
        <v>0.65637441399999463</v>
      </c>
      <c r="E36" s="19">
        <v>-5.5496895959709258</v>
      </c>
      <c r="F36" s="19">
        <v>-1.1872470280344187</v>
      </c>
      <c r="G36" s="20">
        <v>-4.3624425679721766</v>
      </c>
      <c r="H36" s="19">
        <v>-7.1071669340336863</v>
      </c>
      <c r="I36" s="19">
        <v>-6.9672324269589501</v>
      </c>
      <c r="J36" s="19">
        <v>-5.7793578900331246</v>
      </c>
    </row>
    <row r="37" spans="2:10" x14ac:dyDescent="0.2">
      <c r="B37" s="18" t="s">
        <v>114</v>
      </c>
      <c r="C37" s="19">
        <v>-7.8388424280412101</v>
      </c>
      <c r="D37" s="19">
        <v>0.10667653000000218</v>
      </c>
      <c r="E37" s="19">
        <v>-7.8771204770159073</v>
      </c>
      <c r="F37" s="19">
        <v>-0.35705262099027274</v>
      </c>
      <c r="G37" s="20">
        <v>-7.5200678560613046</v>
      </c>
      <c r="H37" s="19">
        <v>-9.1553563099989503</v>
      </c>
      <c r="I37" s="19">
        <v>-9.1942618680434016</v>
      </c>
      <c r="J37" s="19">
        <v>-8.8372092470174604</v>
      </c>
    </row>
    <row r="38" spans="2:10" x14ac:dyDescent="0.2">
      <c r="B38" s="42" t="s">
        <v>115</v>
      </c>
      <c r="C38" s="43">
        <v>-10.898576312020793</v>
      </c>
      <c r="D38" s="43">
        <v>2.572786899997348E-2</v>
      </c>
      <c r="E38" s="43">
        <v>-10.912381510057278</v>
      </c>
      <c r="F38" s="43">
        <v>-0.11797169205884768</v>
      </c>
      <c r="G38" s="20">
        <v>-10.79440981799843</v>
      </c>
      <c r="H38" s="43">
        <v>-11.261276513961137</v>
      </c>
      <c r="I38" s="43">
        <v>-11.276336729994453</v>
      </c>
      <c r="J38" s="43">
        <v>-11.157737529008529</v>
      </c>
    </row>
    <row r="39" spans="2:10" x14ac:dyDescent="0.2">
      <c r="B39" s="42" t="s">
        <v>116</v>
      </c>
      <c r="C39" s="43">
        <v>-8.6470740199981275</v>
      </c>
      <c r="D39" s="43">
        <v>0.63503910799997332</v>
      </c>
      <c r="E39" s="43">
        <v>-8.1733047249815094</v>
      </c>
      <c r="F39" s="43">
        <v>-0.45619904302531011</v>
      </c>
      <c r="G39" s="20">
        <v>-7.717105681920529</v>
      </c>
      <c r="H39" s="43">
        <v>-9.2294023719546807</v>
      </c>
      <c r="I39" s="43">
        <v>-8.7562605860078175</v>
      </c>
      <c r="J39" s="43">
        <v>-8.3006890518739134</v>
      </c>
    </row>
    <row r="40" spans="2:10" x14ac:dyDescent="0.2">
      <c r="B40" s="42" t="s">
        <v>117</v>
      </c>
      <c r="C40" s="43">
        <v>-9.9284473980445895</v>
      </c>
      <c r="D40" s="43">
        <v>0.17758504700002084</v>
      </c>
      <c r="E40" s="43">
        <v>-9.7615300040379775</v>
      </c>
      <c r="F40" s="43">
        <v>-0.11734418302476224</v>
      </c>
      <c r="G40" s="20">
        <v>-9.6441858209775457</v>
      </c>
      <c r="H40" s="43">
        <v>-10.464340083975701</v>
      </c>
      <c r="I40" s="43">
        <v>-10.297422689969091</v>
      </c>
      <c r="J40" s="43">
        <v>-10.179450997981583</v>
      </c>
    </row>
    <row r="41" spans="2:10" x14ac:dyDescent="0.2">
      <c r="B41" s="41" t="s">
        <v>195</v>
      </c>
      <c r="C41" s="43">
        <v>-7.7271717690801083</v>
      </c>
      <c r="D41" s="43">
        <v>3.9947222939943461E-2</v>
      </c>
      <c r="E41" s="43">
        <v>-7.8372370347255167</v>
      </c>
      <c r="F41" s="43">
        <v>-0.92278528584521502</v>
      </c>
      <c r="G41" s="20">
        <v>-6.9144517488803015</v>
      </c>
      <c r="H41" s="43">
        <v>-9.0524753918261407</v>
      </c>
      <c r="I41" s="43">
        <v>-9.1625406574002088</v>
      </c>
      <c r="J41" s="43">
        <v>-8.2397553715549936</v>
      </c>
    </row>
    <row r="42" spans="2:10" x14ac:dyDescent="0.2">
      <c r="B42" s="44" t="s">
        <v>196</v>
      </c>
      <c r="C42" s="22">
        <v>-7.8188635787454075</v>
      </c>
      <c r="D42" s="22">
        <v>5.0596050669981456E-2</v>
      </c>
      <c r="E42" s="22">
        <v>-7.9236147749902761</v>
      </c>
      <c r="F42" s="22">
        <v>-0.52461454089489679</v>
      </c>
      <c r="G42" s="23">
        <v>-7.3990002341310488</v>
      </c>
      <c r="H42" s="22">
        <v>-9.3442021383695391</v>
      </c>
      <c r="I42" s="22">
        <v>-9.4489533347570873</v>
      </c>
      <c r="J42" s="22">
        <v>-8.9243387937551812</v>
      </c>
    </row>
    <row r="43" spans="2:10" x14ac:dyDescent="0.2">
      <c r="B43" s="41"/>
    </row>
  </sheetData>
  <mergeCells count="4">
    <mergeCell ref="C1:G1"/>
    <mergeCell ref="H1:K1"/>
    <mergeCell ref="C34:G34"/>
    <mergeCell ref="H34:J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0EB39-E2E4-EA44-9132-95C2FE8CD2B1}">
  <dimension ref="A1:K64"/>
  <sheetViews>
    <sheetView topLeftCell="A30" workbookViewId="0">
      <selection activeCell="H47" sqref="H47:K47"/>
    </sheetView>
  </sheetViews>
  <sheetFormatPr baseColWidth="10" defaultRowHeight="16" x14ac:dyDescent="0.2"/>
  <cols>
    <col min="1" max="1" width="19.5" bestFit="1" customWidth="1"/>
    <col min="2" max="2" width="25.83203125" bestFit="1" customWidth="1"/>
    <col min="3" max="3" width="11.33203125" bestFit="1" customWidth="1"/>
    <col min="4" max="4" width="11" bestFit="1" customWidth="1"/>
    <col min="5" max="11" width="11.33203125" bestFit="1" customWidth="1"/>
  </cols>
  <sheetData>
    <row r="1" spans="1:11" x14ac:dyDescent="0.2">
      <c r="A1" s="10" t="s">
        <v>92</v>
      </c>
      <c r="C1" s="33" t="s">
        <v>0</v>
      </c>
      <c r="D1" s="33"/>
      <c r="E1" s="33"/>
      <c r="F1" s="33"/>
      <c r="G1" s="33"/>
      <c r="H1" s="33" t="s">
        <v>1</v>
      </c>
      <c r="I1" s="33"/>
      <c r="J1" s="33"/>
      <c r="K1" s="33"/>
    </row>
    <row r="2" spans="1:11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4</v>
      </c>
      <c r="I2" s="1" t="s">
        <v>6</v>
      </c>
      <c r="J2" s="1" t="s">
        <v>9</v>
      </c>
      <c r="K2" s="1" t="s">
        <v>10</v>
      </c>
    </row>
    <row r="3" spans="1:11" x14ac:dyDescent="0.2">
      <c r="A3" s="2" t="s">
        <v>107</v>
      </c>
      <c r="B3" s="2" t="s">
        <v>93</v>
      </c>
      <c r="C3" s="11">
        <v>-306.15606657712999</v>
      </c>
      <c r="D3" s="11">
        <v>9.6415810000000005E-2</v>
      </c>
      <c r="E3" s="11">
        <v>-306.05217483957699</v>
      </c>
      <c r="F3" s="11">
        <f>E3-G3</f>
        <v>3.777169281102033E-2</v>
      </c>
      <c r="G3" s="11">
        <v>-306.08994653238801</v>
      </c>
      <c r="H3" s="11">
        <v>-306.51114925380102</v>
      </c>
      <c r="I3" s="11">
        <f>H3+(E3-C3)</f>
        <v>-306.40725751624802</v>
      </c>
      <c r="J3" s="11">
        <f>I3+(G3-C3)</f>
        <v>-306.34113747150604</v>
      </c>
      <c r="K3" s="3">
        <f>J3+0.00302</f>
        <v>-306.33811747150605</v>
      </c>
    </row>
    <row r="4" spans="1:11" x14ac:dyDescent="0.2">
      <c r="A4" s="2" t="s">
        <v>11</v>
      </c>
      <c r="B4" t="s">
        <v>12</v>
      </c>
      <c r="C4" s="3">
        <v>-537.49914999999999</v>
      </c>
      <c r="D4" s="3">
        <v>0.18898200000000001</v>
      </c>
      <c r="E4" s="3">
        <v>-537.29844000000003</v>
      </c>
      <c r="F4" s="3">
        <f>E4-G4</f>
        <v>4.7955999999999221E-2</v>
      </c>
      <c r="G4" s="3">
        <v>-537.34639600000003</v>
      </c>
      <c r="H4" s="3">
        <v>-538.09428800000001</v>
      </c>
      <c r="I4" s="11">
        <f>H4+(E4-C4)</f>
        <v>-537.89357800000005</v>
      </c>
      <c r="J4" s="11">
        <f>I4+(G4-C4)</f>
        <v>-537.74082400000009</v>
      </c>
      <c r="K4" s="3">
        <f>J4+0.00302</f>
        <v>-537.7378040000001</v>
      </c>
    </row>
    <row r="5" spans="1:11" x14ac:dyDescent="0.2">
      <c r="A5" t="s">
        <v>94</v>
      </c>
      <c r="B5" s="5"/>
      <c r="C5" s="3">
        <v>-843.65147181820203</v>
      </c>
      <c r="D5" s="3">
        <v>0.28716069</v>
      </c>
      <c r="E5" s="3">
        <v>-843.34554152372698</v>
      </c>
      <c r="F5" s="3">
        <f t="shared" ref="F5:F23" si="0">E5-G5</f>
        <v>6.4645552768979542E-2</v>
      </c>
      <c r="G5" s="3">
        <v>-843.41018707649596</v>
      </c>
      <c r="H5" s="3">
        <v>-844.59673713828499</v>
      </c>
      <c r="I5" s="11">
        <f t="shared" ref="I5:I21" si="1">H5+(E5-C5)</f>
        <v>-844.29080684380995</v>
      </c>
      <c r="J5" s="11">
        <f t="shared" ref="J5:J25" si="2">I5+(G5-C5)</f>
        <v>-844.04952210210388</v>
      </c>
      <c r="K5" s="3">
        <f t="shared" ref="K5:K25" si="3">J5+0.00302</f>
        <v>-844.04650210210389</v>
      </c>
    </row>
    <row r="6" spans="1:11" x14ac:dyDescent="0.2">
      <c r="A6" t="s">
        <v>95</v>
      </c>
      <c r="B6" s="5"/>
      <c r="C6" s="3">
        <v>-843.69610251520305</v>
      </c>
      <c r="D6" s="3">
        <v>0.29032764</v>
      </c>
      <c r="E6" s="3">
        <v>-843.38714316877804</v>
      </c>
      <c r="F6" s="3">
        <f t="shared" si="0"/>
        <v>6.4927698362907904E-2</v>
      </c>
      <c r="G6" s="3">
        <v>-843.45207086714095</v>
      </c>
      <c r="H6" s="3">
        <v>-844.63790029357006</v>
      </c>
      <c r="I6" s="11">
        <f t="shared" si="1"/>
        <v>-844.32894094714504</v>
      </c>
      <c r="J6" s="11">
        <f t="shared" si="2"/>
        <v>-844.08490929908294</v>
      </c>
      <c r="K6" s="3">
        <f t="shared" si="3"/>
        <v>-844.08188929908295</v>
      </c>
    </row>
    <row r="7" spans="1:11" x14ac:dyDescent="0.2">
      <c r="A7" t="s">
        <v>17</v>
      </c>
      <c r="B7" t="s">
        <v>18</v>
      </c>
      <c r="C7" s="3">
        <v>-501.652916</v>
      </c>
      <c r="D7" s="3">
        <v>0.21224399999999999</v>
      </c>
      <c r="E7" s="3">
        <v>-501.42846100000003</v>
      </c>
      <c r="F7" s="3">
        <f t="shared" si="0"/>
        <v>4.8896999999954005E-2</v>
      </c>
      <c r="G7" s="3">
        <v>-501.47735799999998</v>
      </c>
      <c r="H7" s="3">
        <v>-502.19288999999998</v>
      </c>
      <c r="I7" s="11">
        <f t="shared" si="1"/>
        <v>-501.968435</v>
      </c>
      <c r="J7" s="11">
        <f t="shared" si="2"/>
        <v>-501.79287699999998</v>
      </c>
      <c r="K7" s="3">
        <f t="shared" si="3"/>
        <v>-501.78985699999998</v>
      </c>
    </row>
    <row r="8" spans="1:11" x14ac:dyDescent="0.2">
      <c r="A8" t="s">
        <v>96</v>
      </c>
      <c r="B8" s="5"/>
      <c r="C8" s="3">
        <v>-807.80603743092104</v>
      </c>
      <c r="D8" s="3">
        <v>0.31062791000000001</v>
      </c>
      <c r="E8" s="3">
        <v>-807.47637825553397</v>
      </c>
      <c r="F8" s="3">
        <f t="shared" si="0"/>
        <v>6.4763833667029758E-2</v>
      </c>
      <c r="G8" s="3">
        <v>-807.541142089201</v>
      </c>
      <c r="H8" s="3">
        <v>-808.69771901918398</v>
      </c>
      <c r="I8" s="11">
        <f t="shared" si="1"/>
        <v>-808.36805984379691</v>
      </c>
      <c r="J8" s="11">
        <f t="shared" si="2"/>
        <v>-808.10316450207688</v>
      </c>
      <c r="K8" s="3">
        <f t="shared" si="3"/>
        <v>-808.10014450207689</v>
      </c>
    </row>
    <row r="9" spans="1:11" x14ac:dyDescent="0.2">
      <c r="A9" t="s">
        <v>97</v>
      </c>
      <c r="B9" s="5"/>
      <c r="C9" s="3">
        <v>-807.84729241220896</v>
      </c>
      <c r="D9" s="3">
        <v>0.31416306999999999</v>
      </c>
      <c r="E9" s="3">
        <v>-807.51462479926602</v>
      </c>
      <c r="F9" s="3">
        <f t="shared" si="0"/>
        <v>6.3322245924950948E-2</v>
      </c>
      <c r="G9" s="3">
        <v>-807.57794704519097</v>
      </c>
      <c r="H9" s="3">
        <v>-808.734556287131</v>
      </c>
      <c r="I9" s="11">
        <f t="shared" si="1"/>
        <v>-808.40188867418806</v>
      </c>
      <c r="J9" s="11">
        <f t="shared" si="2"/>
        <v>-808.13254330717007</v>
      </c>
      <c r="K9" s="3">
        <f t="shared" si="3"/>
        <v>-808.12952330717007</v>
      </c>
    </row>
    <row r="10" spans="1:11" x14ac:dyDescent="0.2">
      <c r="A10" t="s">
        <v>72</v>
      </c>
      <c r="B10" t="s">
        <v>26</v>
      </c>
      <c r="C10" s="3">
        <v>-462.35480999999999</v>
      </c>
      <c r="D10" s="3">
        <v>0.182477</v>
      </c>
      <c r="E10" s="3">
        <v>-462.161047</v>
      </c>
      <c r="F10" s="3">
        <f t="shared" si="0"/>
        <v>4.6756000000016229E-2</v>
      </c>
      <c r="G10" s="3">
        <v>-462.20780300000001</v>
      </c>
      <c r="H10" s="3">
        <v>-462.85519299999999</v>
      </c>
      <c r="I10" s="11">
        <f t="shared" si="1"/>
        <v>-462.66143</v>
      </c>
      <c r="J10" s="11">
        <f t="shared" si="2"/>
        <v>-462.51442300000002</v>
      </c>
      <c r="K10" s="3">
        <f t="shared" si="3"/>
        <v>-462.51140300000003</v>
      </c>
    </row>
    <row r="11" spans="1:11" x14ac:dyDescent="0.2">
      <c r="A11" t="s">
        <v>98</v>
      </c>
      <c r="C11" s="3">
        <v>-768.51184420736502</v>
      </c>
      <c r="D11" s="3">
        <v>0.28064528</v>
      </c>
      <c r="E11" s="3">
        <v>-768.21282403929501</v>
      </c>
      <c r="F11" s="3">
        <f t="shared" si="0"/>
        <v>6.3637548336942018E-2</v>
      </c>
      <c r="G11" s="3">
        <v>-768.27646158763196</v>
      </c>
      <c r="H11" s="3">
        <v>-769.36257133408401</v>
      </c>
      <c r="I11" s="11">
        <f t="shared" si="1"/>
        <v>-769.06355116601401</v>
      </c>
      <c r="J11" s="11">
        <f t="shared" si="2"/>
        <v>-768.82816854628095</v>
      </c>
      <c r="K11" s="3">
        <f t="shared" si="3"/>
        <v>-768.82514854628096</v>
      </c>
    </row>
    <row r="12" spans="1:11" x14ac:dyDescent="0.2">
      <c r="A12" t="s">
        <v>99</v>
      </c>
      <c r="C12" s="3">
        <v>-768.56685973515403</v>
      </c>
      <c r="D12" s="3">
        <v>0.28435519999999997</v>
      </c>
      <c r="E12" s="3">
        <v>-768.26458370878299</v>
      </c>
      <c r="F12" s="3">
        <f t="shared" si="0"/>
        <v>6.2569605698968189E-2</v>
      </c>
      <c r="G12" s="3">
        <v>-768.32715331448196</v>
      </c>
      <c r="H12" s="3">
        <v>-769.41319641565406</v>
      </c>
      <c r="I12" s="11">
        <f t="shared" si="1"/>
        <v>-769.11092038928302</v>
      </c>
      <c r="J12" s="11">
        <f t="shared" si="2"/>
        <v>-768.87121396861096</v>
      </c>
      <c r="K12" s="3">
        <f t="shared" si="3"/>
        <v>-768.86819396861097</v>
      </c>
    </row>
    <row r="13" spans="1:11" x14ac:dyDescent="0.2">
      <c r="A13" t="s">
        <v>32</v>
      </c>
      <c r="B13" t="s">
        <v>20</v>
      </c>
      <c r="C13" s="3">
        <v>-463.61100099999999</v>
      </c>
      <c r="D13" s="3">
        <v>0.20491400000000001</v>
      </c>
      <c r="E13" s="3">
        <v>-463.39365400000003</v>
      </c>
      <c r="F13" s="3">
        <f t="shared" si="0"/>
        <v>4.8901000000000749E-2</v>
      </c>
      <c r="G13" s="3">
        <v>-463.44255500000003</v>
      </c>
      <c r="H13" s="3">
        <v>-464.11372399999999</v>
      </c>
      <c r="I13" s="11">
        <f t="shared" si="1"/>
        <v>-463.89637700000003</v>
      </c>
      <c r="J13" s="11">
        <f t="shared" si="2"/>
        <v>-463.72793100000007</v>
      </c>
      <c r="K13" s="3">
        <f t="shared" si="3"/>
        <v>-463.72491100000008</v>
      </c>
    </row>
    <row r="14" spans="1:11" x14ac:dyDescent="0.2">
      <c r="A14" t="s">
        <v>108</v>
      </c>
      <c r="C14" s="3">
        <v>-769.76250026323896</v>
      </c>
      <c r="D14" s="3">
        <v>0.30371459000000001</v>
      </c>
      <c r="E14" s="3">
        <v>-769.43969425988598</v>
      </c>
      <c r="F14" s="3">
        <f t="shared" si="0"/>
        <v>6.4342322449988387E-2</v>
      </c>
      <c r="G14" s="3">
        <v>-769.50403658233597</v>
      </c>
      <c r="H14" s="3">
        <v>-770.61674960451001</v>
      </c>
      <c r="I14" s="11">
        <f t="shared" si="1"/>
        <v>-770.29394360115703</v>
      </c>
      <c r="J14" s="11">
        <f t="shared" si="2"/>
        <v>-770.03547992025403</v>
      </c>
      <c r="K14" s="3">
        <f t="shared" si="3"/>
        <v>-770.03245992025404</v>
      </c>
    </row>
    <row r="15" spans="1:11" x14ac:dyDescent="0.2">
      <c r="A15" t="s">
        <v>109</v>
      </c>
      <c r="C15" s="3">
        <v>-769.80182966317705</v>
      </c>
      <c r="D15" s="3">
        <v>0.30705199999999999</v>
      </c>
      <c r="E15" s="3">
        <v>-769.47623803374802</v>
      </c>
      <c r="F15" s="3">
        <f t="shared" si="0"/>
        <v>6.3217016383987357E-2</v>
      </c>
      <c r="G15" s="3">
        <v>-769.53945505013201</v>
      </c>
      <c r="H15" s="3">
        <v>-770.65299806093299</v>
      </c>
      <c r="I15" s="11">
        <f t="shared" si="1"/>
        <v>-770.32740643150396</v>
      </c>
      <c r="J15" s="11">
        <f t="shared" si="2"/>
        <v>-770.06503181845892</v>
      </c>
      <c r="K15" s="3">
        <f t="shared" si="3"/>
        <v>-770.06201181845893</v>
      </c>
    </row>
    <row r="16" spans="1:11" x14ac:dyDescent="0.2">
      <c r="A16" t="s">
        <v>34</v>
      </c>
      <c r="B16" t="s">
        <v>22</v>
      </c>
      <c r="C16" s="3">
        <v>-385.04979800000001</v>
      </c>
      <c r="D16" s="3">
        <v>0.14852699999999999</v>
      </c>
      <c r="E16" s="3">
        <v>-384.89222699999999</v>
      </c>
      <c r="F16" s="3">
        <f t="shared" si="0"/>
        <v>4.1443000000015218E-2</v>
      </c>
      <c r="G16" s="3">
        <v>-384.93367000000001</v>
      </c>
      <c r="H16" s="3">
        <v>-385.47192699999999</v>
      </c>
      <c r="I16" s="11">
        <f t="shared" si="1"/>
        <v>-385.31435599999998</v>
      </c>
      <c r="J16" s="11">
        <f t="shared" si="2"/>
        <v>-385.19822799999997</v>
      </c>
      <c r="K16" s="3">
        <f t="shared" si="3"/>
        <v>-385.19520799999998</v>
      </c>
    </row>
    <row r="17" spans="1:11" x14ac:dyDescent="0.2">
      <c r="A17" t="s">
        <v>110</v>
      </c>
      <c r="C17" s="3">
        <v>-691.20276357011801</v>
      </c>
      <c r="D17" s="3">
        <v>0.24691779999999999</v>
      </c>
      <c r="E17" s="3">
        <v>-690.93991800963602</v>
      </c>
      <c r="F17" s="3">
        <f t="shared" si="0"/>
        <v>5.7560832767990178E-2</v>
      </c>
      <c r="G17" s="3">
        <v>-690.99747884240401</v>
      </c>
      <c r="H17" s="3">
        <v>-691.97505744923399</v>
      </c>
      <c r="I17" s="11">
        <f t="shared" si="1"/>
        <v>-691.71221188875199</v>
      </c>
      <c r="J17" s="11">
        <f t="shared" si="2"/>
        <v>-691.50692716103799</v>
      </c>
      <c r="K17" s="3">
        <f t="shared" si="3"/>
        <v>-691.503907161038</v>
      </c>
    </row>
    <row r="18" spans="1:11" x14ac:dyDescent="0.2">
      <c r="A18" t="s">
        <v>111</v>
      </c>
      <c r="C18" s="3">
        <v>-691.24798637754498</v>
      </c>
      <c r="D18" s="3">
        <v>0.25057543999999998</v>
      </c>
      <c r="E18" s="3">
        <v>-690.98139632748098</v>
      </c>
      <c r="F18" s="3">
        <f t="shared" si="0"/>
        <v>5.8769805071051451E-2</v>
      </c>
      <c r="G18" s="3">
        <v>-691.04016613255203</v>
      </c>
      <c r="H18" s="3">
        <v>-692.017710860031</v>
      </c>
      <c r="I18" s="11">
        <f t="shared" si="1"/>
        <v>-691.75112080996701</v>
      </c>
      <c r="J18" s="11">
        <f t="shared" si="2"/>
        <v>-691.54330056497406</v>
      </c>
      <c r="K18" s="3">
        <f t="shared" si="3"/>
        <v>-691.54028056497407</v>
      </c>
    </row>
    <row r="19" spans="1:11" x14ac:dyDescent="0.2">
      <c r="A19" t="s">
        <v>29</v>
      </c>
      <c r="B19" t="s">
        <v>30</v>
      </c>
      <c r="C19" s="3">
        <v>-616.09213199999999</v>
      </c>
      <c r="D19" s="3">
        <v>0.248969</v>
      </c>
      <c r="E19" s="3">
        <v>-615.82962399999997</v>
      </c>
      <c r="F19" s="3">
        <f t="shared" si="0"/>
        <v>5.1738000000000284E-2</v>
      </c>
      <c r="G19" s="3">
        <v>-615.88136199999997</v>
      </c>
      <c r="H19" s="3">
        <v>-616.76598999999999</v>
      </c>
      <c r="I19" s="11">
        <f t="shared" si="1"/>
        <v>-616.50348199999996</v>
      </c>
      <c r="J19" s="11">
        <f t="shared" si="2"/>
        <v>-616.29271199999994</v>
      </c>
      <c r="K19" s="3">
        <f t="shared" si="3"/>
        <v>-616.28969199999995</v>
      </c>
    </row>
    <row r="20" spans="1:11" x14ac:dyDescent="0.2">
      <c r="A20" t="s">
        <v>104</v>
      </c>
      <c r="C20">
        <v>-922.24464504559296</v>
      </c>
      <c r="D20" s="3">
        <v>0.34736803999999999</v>
      </c>
      <c r="E20">
        <v>-921.87693611601799</v>
      </c>
      <c r="F20" s="3">
        <f t="shared" si="0"/>
        <v>6.7515577263975501E-2</v>
      </c>
      <c r="G20">
        <v>-921.94445169328196</v>
      </c>
      <c r="H20">
        <v>-923.26767052662501</v>
      </c>
      <c r="I20" s="11">
        <f t="shared" si="1"/>
        <v>-922.89996159705004</v>
      </c>
      <c r="J20" s="11">
        <f t="shared" si="2"/>
        <v>-922.59976824473904</v>
      </c>
      <c r="K20" s="3">
        <f t="shared" si="3"/>
        <v>-922.59674824473905</v>
      </c>
    </row>
    <row r="21" spans="1:11" x14ac:dyDescent="0.2">
      <c r="A21" t="s">
        <v>105</v>
      </c>
      <c r="C21">
        <v>-922.284754205848</v>
      </c>
      <c r="D21" s="3">
        <v>0.35061544</v>
      </c>
      <c r="E21">
        <v>-921.91420267323099</v>
      </c>
      <c r="F21" s="3">
        <f t="shared" si="0"/>
        <v>6.6454910240963727E-2</v>
      </c>
      <c r="G21">
        <v>-921.98065758347195</v>
      </c>
      <c r="H21">
        <v>-923.30542338985504</v>
      </c>
      <c r="I21" s="11">
        <f t="shared" si="1"/>
        <v>-922.93487185723802</v>
      </c>
      <c r="J21" s="11">
        <f>I21+(G21-C21)</f>
        <v>-922.63077523486197</v>
      </c>
      <c r="K21" s="3">
        <f t="shared" si="3"/>
        <v>-922.62775523486198</v>
      </c>
    </row>
    <row r="22" spans="1:11" x14ac:dyDescent="0.2">
      <c r="A22" t="s">
        <v>181</v>
      </c>
      <c r="B22" t="s">
        <v>191</v>
      </c>
      <c r="C22" s="3">
        <v>-759.80305366505604</v>
      </c>
      <c r="D22" s="3">
        <v>0.16133686999999999</v>
      </c>
      <c r="E22" s="3">
        <v>-759.62902078203001</v>
      </c>
      <c r="F22" s="3">
        <f t="shared" si="0"/>
        <v>5.1465825777995633E-2</v>
      </c>
      <c r="G22" s="3">
        <v>-759.68048660780801</v>
      </c>
      <c r="H22" s="3">
        <v>-760.672124011145</v>
      </c>
      <c r="I22" s="3">
        <f>H22+E22-C22</f>
        <v>-760.49809112811886</v>
      </c>
      <c r="J22" s="11">
        <f t="shared" si="2"/>
        <v>-760.37552407087082</v>
      </c>
      <c r="K22" s="3">
        <f t="shared" si="3"/>
        <v>-760.37250407087083</v>
      </c>
    </row>
    <row r="23" spans="1:11" x14ac:dyDescent="0.2">
      <c r="A23" t="s">
        <v>182</v>
      </c>
      <c r="C23">
        <v>-1065.99973349731</v>
      </c>
      <c r="D23" s="3">
        <v>0.26274163</v>
      </c>
      <c r="E23">
        <v>-1065.71739746719</v>
      </c>
      <c r="F23" s="3">
        <f t="shared" si="0"/>
        <v>6.7234859509881062E-2</v>
      </c>
      <c r="G23">
        <v>-1065.7846323266999</v>
      </c>
      <c r="H23">
        <v>-1067.2152705741901</v>
      </c>
      <c r="I23" s="3">
        <f>H23+E23-C23</f>
        <v>-1066.9329345440701</v>
      </c>
      <c r="J23" s="11">
        <f t="shared" si="2"/>
        <v>-1066.7178333734601</v>
      </c>
      <c r="K23" s="3">
        <f t="shared" si="3"/>
        <v>-1066.7148133734599</v>
      </c>
    </row>
    <row r="24" spans="1:11" x14ac:dyDescent="0.2">
      <c r="A24" t="s">
        <v>184</v>
      </c>
      <c r="B24" t="s">
        <v>194</v>
      </c>
      <c r="C24">
        <v>-423.09036948218801</v>
      </c>
      <c r="D24" s="3">
        <v>0.15610447999999999</v>
      </c>
      <c r="E24">
        <v>-422.92512615693198</v>
      </c>
      <c r="F24" s="3">
        <f t="shared" ref="F24:F25" si="4">E24-G24</f>
        <v>4.1993745334991672E-2</v>
      </c>
      <c r="G24">
        <v>-422.96711990226697</v>
      </c>
      <c r="H24">
        <v>-423.55314891616501</v>
      </c>
      <c r="I24" s="3">
        <f t="shared" ref="I24" si="5">H24+E24-C24</f>
        <v>-423.38790559090893</v>
      </c>
      <c r="J24" s="11">
        <f t="shared" si="2"/>
        <v>-423.26465601098789</v>
      </c>
      <c r="K24" s="3">
        <f t="shared" si="3"/>
        <v>-423.2616360109879</v>
      </c>
    </row>
    <row r="25" spans="1:11" x14ac:dyDescent="0.2">
      <c r="A25" t="s">
        <v>183</v>
      </c>
      <c r="C25">
        <v>-729.28760867641302</v>
      </c>
      <c r="D25" s="3">
        <v>0.25750000000000001</v>
      </c>
      <c r="E25">
        <v>-729.014003468542</v>
      </c>
      <c r="F25" s="3">
        <f t="shared" si="4"/>
        <v>5.8844575734951832E-2</v>
      </c>
      <c r="G25">
        <v>-729.07284804427695</v>
      </c>
      <c r="H25">
        <v>-730.09696065666105</v>
      </c>
      <c r="I25" s="3">
        <f t="shared" ref="I25" si="6">H25+E25-C25</f>
        <v>-729.82335544879004</v>
      </c>
      <c r="J25" s="11">
        <f t="shared" si="2"/>
        <v>-729.60859481665398</v>
      </c>
      <c r="K25" s="3">
        <f t="shared" si="3"/>
        <v>-729.60557481665398</v>
      </c>
    </row>
    <row r="29" spans="1:11" x14ac:dyDescent="0.2">
      <c r="B29" s="1" t="s">
        <v>106</v>
      </c>
      <c r="C29" s="1" t="s">
        <v>37</v>
      </c>
      <c r="D29" s="1" t="s">
        <v>38</v>
      </c>
      <c r="E29" s="1" t="s">
        <v>39</v>
      </c>
      <c r="F29" s="1" t="s">
        <v>40</v>
      </c>
      <c r="G29" s="1" t="s">
        <v>41</v>
      </c>
      <c r="H29" s="1" t="s">
        <v>37</v>
      </c>
      <c r="I29" s="1" t="s">
        <v>39</v>
      </c>
      <c r="J29" s="1" t="s">
        <v>42</v>
      </c>
      <c r="K29" s="1" t="s">
        <v>43</v>
      </c>
    </row>
    <row r="30" spans="1:11" x14ac:dyDescent="0.2">
      <c r="B30" t="s">
        <v>94</v>
      </c>
      <c r="C30" s="5">
        <f>(C5-(C$4+C$3))*627.509</f>
        <v>2.3498699301195396</v>
      </c>
      <c r="D30" s="5">
        <f t="shared" ref="D30:K31" si="7">(D5-(D$4+D$3))*627.509</f>
        <v>1.1062230659199792</v>
      </c>
      <c r="E30" s="5">
        <f t="shared" si="7"/>
        <v>3.1835513557431718</v>
      </c>
      <c r="F30" s="5">
        <f t="shared" si="7"/>
        <v>-13.229232615640484</v>
      </c>
      <c r="G30" s="5">
        <f t="shared" si="7"/>
        <v>16.412783971383657</v>
      </c>
      <c r="H30" s="5">
        <f t="shared" si="7"/>
        <v>5.4594007873516768</v>
      </c>
      <c r="I30" s="5">
        <f t="shared" si="7"/>
        <v>6.2930822129753095</v>
      </c>
      <c r="J30" s="5">
        <f t="shared" si="7"/>
        <v>20.355996254239425</v>
      </c>
      <c r="K30" s="5">
        <f>(K5-(K$4+K$3))*627.509</f>
        <v>18.460919074244288</v>
      </c>
    </row>
    <row r="31" spans="1:11" x14ac:dyDescent="0.2">
      <c r="B31" t="s">
        <v>95</v>
      </c>
      <c r="C31" s="5">
        <f>(C6-(C$4+C$3))*627.509</f>
        <v>-25.656294114296976</v>
      </c>
      <c r="D31" s="5">
        <f t="shared" si="7"/>
        <v>3.0935126934699801</v>
      </c>
      <c r="E31" s="5">
        <f t="shared" si="7"/>
        <v>-22.921855328602234</v>
      </c>
      <c r="F31" s="5">
        <f t="shared" si="7"/>
        <v>-13.052183716140092</v>
      </c>
      <c r="G31" s="5">
        <f t="shared" si="7"/>
        <v>-9.8696716124621435</v>
      </c>
      <c r="H31" s="5">
        <f t="shared" si="7"/>
        <v>-20.370849622422423</v>
      </c>
      <c r="I31" s="5">
        <f t="shared" si="7"/>
        <v>-17.636410836727681</v>
      </c>
      <c r="J31" s="5">
        <f t="shared" si="7"/>
        <v>-1.8497883348928452</v>
      </c>
      <c r="K31" s="5">
        <f t="shared" si="7"/>
        <v>-3.7448655148879828</v>
      </c>
    </row>
    <row r="32" spans="1:11" x14ac:dyDescent="0.2">
      <c r="B32" t="s">
        <v>96</v>
      </c>
      <c r="C32" s="5">
        <f>(C8-(C$7+C$3))*627.509</f>
        <v>1.848105752437182</v>
      </c>
      <c r="D32" s="5">
        <f t="shared" ref="D32:K33" si="8">(D8-(D$7+D$3))*627.509</f>
        <v>1.2350004629000177</v>
      </c>
      <c r="E32" s="5">
        <f t="shared" si="8"/>
        <v>2.6716723052320082</v>
      </c>
      <c r="F32" s="5">
        <f t="shared" si="8"/>
        <v>-13.745496256557518</v>
      </c>
      <c r="G32" s="5">
        <f t="shared" si="8"/>
        <v>16.417168561825196</v>
      </c>
      <c r="H32" s="5">
        <f t="shared" si="8"/>
        <v>3.9660041043281953</v>
      </c>
      <c r="I32" s="5">
        <f t="shared" si="8"/>
        <v>4.7895706571230212</v>
      </c>
      <c r="J32" s="5">
        <f t="shared" si="8"/>
        <v>19.358633466511034</v>
      </c>
      <c r="K32" s="5">
        <f t="shared" si="8"/>
        <v>17.463556286515896</v>
      </c>
    </row>
    <row r="33" spans="1:11" x14ac:dyDescent="0.2">
      <c r="B33" t="s">
        <v>97</v>
      </c>
      <c r="C33" s="5">
        <f>(C9-(C$7+C$3))*627.509</f>
        <v>-24.039766300564587</v>
      </c>
      <c r="D33" s="5">
        <f t="shared" si="8"/>
        <v>3.4533451793400061</v>
      </c>
      <c r="E33" s="5">
        <f t="shared" si="8"/>
        <v>-21.328378105518809</v>
      </c>
      <c r="F33" s="5">
        <f t="shared" si="8"/>
        <v>-14.65010553900165</v>
      </c>
      <c r="G33" s="5">
        <f t="shared" si="8"/>
        <v>-6.6782725664814899</v>
      </c>
      <c r="H33" s="5">
        <f t="shared" si="8"/>
        <v>-19.149713067839162</v>
      </c>
      <c r="I33" s="5">
        <f t="shared" si="8"/>
        <v>-16.438324872793384</v>
      </c>
      <c r="J33" s="5">
        <f t="shared" si="8"/>
        <v>0.92316886128971309</v>
      </c>
      <c r="K33" s="5">
        <f t="shared" si="8"/>
        <v>-0.97190831870542449</v>
      </c>
    </row>
    <row r="34" spans="1:11" x14ac:dyDescent="0.2">
      <c r="B34" t="s">
        <v>98</v>
      </c>
      <c r="C34" s="5">
        <f>(C11-(C$10+C$3))*627.509</f>
        <v>-0.60719668119446979</v>
      </c>
      <c r="D34" s="5">
        <f>(D11-(D$10+D$3))*627.509</f>
        <v>1.0996906972300038</v>
      </c>
      <c r="E34" s="5">
        <f t="shared" ref="E34:K35" si="9">(E11-(E$10+E$3))*627.509</f>
        <v>0.24962325717661599</v>
      </c>
      <c r="F34" s="5">
        <f t="shared" si="9"/>
        <v>-13.108753668794591</v>
      </c>
      <c r="G34" s="5">
        <f t="shared" si="9"/>
        <v>13.358376925935538</v>
      </c>
      <c r="H34" s="5">
        <f t="shared" si="9"/>
        <v>2.3662860606942209</v>
      </c>
      <c r="I34" s="5">
        <f t="shared" si="9"/>
        <v>3.223105998993967</v>
      </c>
      <c r="J34" s="5">
        <f t="shared" si="9"/>
        <v>17.188679606123973</v>
      </c>
      <c r="K34" s="5">
        <f t="shared" si="9"/>
        <v>15.293602426128837</v>
      </c>
    </row>
    <row r="35" spans="1:11" x14ac:dyDescent="0.2">
      <c r="B35" t="s">
        <v>99</v>
      </c>
      <c r="C35" s="5">
        <f>(C12-(C$10+C$3))*627.509</f>
        <v>-35.129935508548265</v>
      </c>
      <c r="D35" s="5">
        <f t="shared" ref="D35:G35" si="10">(D12-(D$10+D$3))*627.509</f>
        <v>3.4276988865099898</v>
      </c>
      <c r="E35" s="5">
        <f t="shared" si="10"/>
        <v>-32.230035183555287</v>
      </c>
      <c r="F35" s="5">
        <f t="shared" si="10"/>
        <v>-13.778897285606911</v>
      </c>
      <c r="G35" s="5">
        <f t="shared" si="10"/>
        <v>-18.451137897984044</v>
      </c>
      <c r="H35" s="5">
        <f t="shared" si="9"/>
        <v>-29.401408250244316</v>
      </c>
      <c r="I35" s="5">
        <f t="shared" si="9"/>
        <v>-26.501507925322677</v>
      </c>
      <c r="J35" s="5">
        <f t="shared" si="9"/>
        <v>-9.8227103147584582</v>
      </c>
      <c r="K35" s="5">
        <f t="shared" si="9"/>
        <v>-11.717787494753596</v>
      </c>
    </row>
    <row r="36" spans="1:11" x14ac:dyDescent="0.2">
      <c r="B36" t="s">
        <v>100</v>
      </c>
      <c r="C36" s="5">
        <f>(C14-(C$13+C$3))*627.509</f>
        <v>2.8660305724375945</v>
      </c>
      <c r="D36" s="5">
        <f t="shared" ref="D36:K37" si="11">(D14-(D$13+D$3))*627.509</f>
        <v>1.4964709130199845</v>
      </c>
      <c r="E36" s="5">
        <f t="shared" si="11"/>
        <v>3.8495039673065921</v>
      </c>
      <c r="F36" s="5">
        <f t="shared" si="11"/>
        <v>-14.012508374881264</v>
      </c>
      <c r="G36" s="5">
        <f t="shared" si="11"/>
        <v>17.862012342259195</v>
      </c>
      <c r="H36" s="5">
        <f t="shared" si="11"/>
        <v>5.0976630429867775</v>
      </c>
      <c r="I36" s="5">
        <f t="shared" si="11"/>
        <v>6.0811364378557755</v>
      </c>
      <c r="J36" s="5">
        <f t="shared" si="11"/>
        <v>21.077118207677376</v>
      </c>
      <c r="K36" s="5">
        <f t="shared" si="11"/>
        <v>19.182041027682239</v>
      </c>
    </row>
    <row r="37" spans="1:11" x14ac:dyDescent="0.2">
      <c r="B37" t="s">
        <v>101</v>
      </c>
      <c r="C37" s="5">
        <f>(C15-(C$13+C$3))*627.509</f>
        <v>-21.813521853308959</v>
      </c>
      <c r="D37" s="5">
        <f t="shared" si="11"/>
        <v>3.5907257247099751</v>
      </c>
      <c r="E37" s="5">
        <f t="shared" si="11"/>
        <v>-19.082043025085618</v>
      </c>
      <c r="F37" s="5">
        <f t="shared" si="11"/>
        <v>-14.718648059051505</v>
      </c>
      <c r="G37" s="5">
        <f t="shared" si="11"/>
        <v>-4.3633949659627733</v>
      </c>
      <c r="H37" s="5">
        <f t="shared" si="11"/>
        <v>-17.648569598542039</v>
      </c>
      <c r="I37" s="5">
        <f t="shared" si="11"/>
        <v>-14.917090770318699</v>
      </c>
      <c r="J37" s="5">
        <f t="shared" si="11"/>
        <v>2.5330361170274864</v>
      </c>
      <c r="K37" s="5">
        <f t="shared" si="11"/>
        <v>0.63795893703234874</v>
      </c>
    </row>
    <row r="38" spans="1:11" x14ac:dyDescent="0.2">
      <c r="B38" t="s">
        <v>102</v>
      </c>
      <c r="C38" s="5">
        <f>(C17-(C$16+C$3))*627.509</f>
        <v>1.9459098090880229</v>
      </c>
      <c r="D38" s="5">
        <f t="shared" ref="D38:K39" si="12">(D17-(D$16+D$3))*627.509</f>
        <v>1.2393239999099888</v>
      </c>
      <c r="E38" s="5">
        <f t="shared" si="12"/>
        <v>2.8136436424614217</v>
      </c>
      <c r="F38" s="5">
        <f t="shared" si="12"/>
        <v>-13.587992061751358</v>
      </c>
      <c r="G38" s="5">
        <f t="shared" si="12"/>
        <v>16.40163570417711</v>
      </c>
      <c r="H38" s="5">
        <f t="shared" si="12"/>
        <v>5.0318720350879396</v>
      </c>
      <c r="I38" s="5">
        <f t="shared" si="12"/>
        <v>5.8996058683899983</v>
      </c>
      <c r="J38" s="5">
        <f t="shared" si="12"/>
        <v>20.355331763479086</v>
      </c>
      <c r="K38" s="5">
        <f t="shared" si="12"/>
        <v>18.460254583483948</v>
      </c>
    </row>
    <row r="39" spans="1:11" x14ac:dyDescent="0.2">
      <c r="B39" t="s">
        <v>103</v>
      </c>
      <c r="C39" s="5">
        <f>(C18-(C$16+C$3))*627.509</f>
        <v>-26.431808856600576</v>
      </c>
      <c r="D39" s="5">
        <f t="shared" si="12"/>
        <v>3.5345260186699825</v>
      </c>
      <c r="E39" s="5">
        <f t="shared" si="12"/>
        <v>-23.214374110113138</v>
      </c>
      <c r="F39" s="5">
        <f t="shared" si="12"/>
        <v>-12.829351060829682</v>
      </c>
      <c r="G39" s="5">
        <f t="shared" si="12"/>
        <v>-10.385023049319125</v>
      </c>
      <c r="H39" s="5">
        <f t="shared" si="12"/>
        <v>-21.733527120736504</v>
      </c>
      <c r="I39" s="5">
        <f t="shared" si="12"/>
        <v>-18.516092374320404</v>
      </c>
      <c r="J39" s="5">
        <f t="shared" si="12"/>
        <v>-2.4693065670389576</v>
      </c>
      <c r="K39" s="5">
        <f t="shared" si="12"/>
        <v>-4.3643837470340952</v>
      </c>
    </row>
    <row r="40" spans="1:11" x14ac:dyDescent="0.2">
      <c r="B40" t="s">
        <v>104</v>
      </c>
      <c r="C40" s="5">
        <f>(C20-(C$19+C$3))*627.509</f>
        <v>2.2298730212654747</v>
      </c>
      <c r="D40" s="5">
        <f t="shared" ref="D40:K41" si="13">(D20-(D$19+D$3))*627.509</f>
        <v>1.2444946740700016</v>
      </c>
      <c r="E40" s="5">
        <f t="shared" si="13"/>
        <v>3.0514027977669564</v>
      </c>
      <c r="F40" s="5">
        <f t="shared" si="13"/>
        <v>-13.801505452810732</v>
      </c>
      <c r="G40" s="5">
        <f t="shared" si="13"/>
        <v>16.852908250577688</v>
      </c>
      <c r="H40" s="5">
        <f t="shared" si="13"/>
        <v>5.9417115214842378</v>
      </c>
      <c r="I40" s="5">
        <f t="shared" si="13"/>
        <v>6.7632412979857195</v>
      </c>
      <c r="J40" s="5">
        <f t="shared" si="13"/>
        <v>21.386276527297934</v>
      </c>
      <c r="K40" s="5">
        <f t="shared" si="13"/>
        <v>19.491199347302796</v>
      </c>
    </row>
    <row r="41" spans="1:11" x14ac:dyDescent="0.2">
      <c r="B41" t="s">
        <v>105</v>
      </c>
      <c r="C41" s="5">
        <f>(C21-(C$19+C$3))*627.509</f>
        <v>-22.938986021215864</v>
      </c>
      <c r="D41" s="5">
        <f t="shared" si="13"/>
        <v>3.2822674006700088</v>
      </c>
      <c r="E41" s="5">
        <f t="shared" si="13"/>
        <v>-20.333697252406566</v>
      </c>
      <c r="F41" s="5">
        <f t="shared" si="13"/>
        <v>-14.467083555753828</v>
      </c>
      <c r="G41" s="5">
        <f t="shared" si="13"/>
        <v>-5.8666136966527391</v>
      </c>
      <c r="H41" s="5">
        <f t="shared" si="13"/>
        <v>-17.748549931125815</v>
      </c>
      <c r="I41" s="5">
        <f t="shared" si="13"/>
        <v>-15.143261162316518</v>
      </c>
      <c r="J41" s="5">
        <f>(J21-(J$19+J$3))*627.509</f>
        <v>1.9291111622466062</v>
      </c>
      <c r="K41" s="5">
        <f t="shared" si="13"/>
        <v>3.4033982251468614E-2</v>
      </c>
    </row>
    <row r="42" spans="1:11" x14ac:dyDescent="0.2">
      <c r="B42" t="s">
        <v>182</v>
      </c>
      <c r="C42" s="5">
        <f>(C23-(C$22+C$3))*627.509</f>
        <v>-25.485183109508402</v>
      </c>
      <c r="D42" s="5">
        <f>(D23-(D$22+D$3))*627.509</f>
        <v>3.130611025549995</v>
      </c>
      <c r="E42" s="5">
        <f t="shared" ref="D42:G42" si="14">(E23-(E$22+E$3))*627.509</f>
        <v>-22.716983919965731</v>
      </c>
      <c r="F42" s="5">
        <f t="shared" si="14"/>
        <v>-13.806866596088863</v>
      </c>
      <c r="G42" s="5">
        <f t="shared" si="14"/>
        <v>-8.9101173238768698</v>
      </c>
      <c r="H42" s="5">
        <f>(H23-(H$22+H$3))*627.509</f>
        <v>-20.078599526494504</v>
      </c>
      <c r="I42" s="5">
        <f>(I23-(I$22+I$3))*627.509</f>
        <v>-17.310400336951833</v>
      </c>
      <c r="J42" s="5">
        <f>(J23-(J$22+J$3))*627.509</f>
        <v>-0.73533455117762125</v>
      </c>
      <c r="K42" s="5">
        <f t="shared" ref="K42" si="15">(K23-(K$22+K$3))*627.509</f>
        <v>-2.6304117311014195</v>
      </c>
    </row>
    <row r="43" spans="1:11" x14ac:dyDescent="0.2">
      <c r="B43" t="s">
        <v>183</v>
      </c>
      <c r="C43" s="5">
        <f>(C25-(C$24+C$3))*627.509</f>
        <v>-25.836187780639865</v>
      </c>
      <c r="D43" s="5">
        <f>(D25-(D$24+D$3))*627.509</f>
        <v>3.1248128423900163</v>
      </c>
      <c r="E43" s="5">
        <f t="shared" ref="D43:K43" si="16">(E25-(E$24+E$3))*627.509</f>
        <v>-23.031131522937564</v>
      </c>
      <c r="F43" s="5">
        <f t="shared" si="16"/>
        <v>-13.128029450701957</v>
      </c>
      <c r="G43" s="5">
        <f t="shared" si="16"/>
        <v>-9.9031020722712793</v>
      </c>
      <c r="H43" s="5">
        <f t="shared" si="16"/>
        <v>-20.496004363503374</v>
      </c>
      <c r="I43" s="5">
        <f>(I25-(I$24+I$3))*627.509</f>
        <v>-17.690948105872415</v>
      </c>
      <c r="J43" s="5">
        <f>(J25-(J$24+J$3))*627.509</f>
        <v>-1.7578623974324867</v>
      </c>
      <c r="K43" s="5">
        <f t="shared" si="16"/>
        <v>-3.6529395774276243</v>
      </c>
    </row>
    <row r="44" spans="1:11" x14ac:dyDescent="0.2">
      <c r="D44" s="5"/>
    </row>
    <row r="45" spans="1:11" x14ac:dyDescent="0.2">
      <c r="D45" s="5"/>
    </row>
    <row r="46" spans="1:11" x14ac:dyDescent="0.2">
      <c r="H46" s="54"/>
    </row>
    <row r="47" spans="1:11" x14ac:dyDescent="0.2">
      <c r="B47" s="24"/>
      <c r="C47" s="34" t="s">
        <v>0</v>
      </c>
      <c r="D47" s="34"/>
      <c r="E47" s="34"/>
      <c r="F47" s="34"/>
      <c r="G47" s="34"/>
      <c r="H47" s="35" t="s">
        <v>205</v>
      </c>
      <c r="I47" s="34"/>
      <c r="J47" s="34"/>
      <c r="K47" s="34"/>
    </row>
    <row r="48" spans="1:11" x14ac:dyDescent="0.2">
      <c r="A48" s="16" t="s">
        <v>118</v>
      </c>
      <c r="B48" s="16" t="s">
        <v>106</v>
      </c>
      <c r="C48" s="16" t="s">
        <v>37</v>
      </c>
      <c r="D48" s="16" t="s">
        <v>38</v>
      </c>
      <c r="E48" s="16" t="s">
        <v>39</v>
      </c>
      <c r="F48" s="16" t="s">
        <v>40</v>
      </c>
      <c r="G48" s="17" t="s">
        <v>120</v>
      </c>
      <c r="H48" s="16" t="s">
        <v>37</v>
      </c>
      <c r="I48" s="16" t="s">
        <v>39</v>
      </c>
      <c r="J48" s="16" t="s">
        <v>120</v>
      </c>
      <c r="K48" s="16" t="s">
        <v>121</v>
      </c>
    </row>
    <row r="49" spans="1:11" x14ac:dyDescent="0.2">
      <c r="A49" s="37" t="s">
        <v>80</v>
      </c>
      <c r="B49" s="18" t="s">
        <v>7</v>
      </c>
      <c r="C49" s="19">
        <v>1.9459098090880229</v>
      </c>
      <c r="D49" s="19">
        <v>1.2393239999099888</v>
      </c>
      <c r="E49" s="19">
        <v>2.8136436424614217</v>
      </c>
      <c r="F49" s="19">
        <v>-13.587992061751358</v>
      </c>
      <c r="G49" s="20">
        <v>16.40163570417711</v>
      </c>
      <c r="H49" s="19">
        <v>5.0318720350879396</v>
      </c>
      <c r="I49" s="19">
        <v>5.8996058683899983</v>
      </c>
      <c r="J49" s="19">
        <v>20.355331763479086</v>
      </c>
      <c r="K49" s="19">
        <v>18.460254583483948</v>
      </c>
    </row>
    <row r="50" spans="1:11" x14ac:dyDescent="0.2">
      <c r="A50" s="36"/>
      <c r="B50" s="18" t="s">
        <v>119</v>
      </c>
      <c r="C50" s="19">
        <v>-26.431808856600576</v>
      </c>
      <c r="D50" s="19">
        <v>3.5345260186699825</v>
      </c>
      <c r="E50" s="19">
        <v>-23.214374110113138</v>
      </c>
      <c r="F50" s="19">
        <v>-12.829351060829682</v>
      </c>
      <c r="G50" s="20">
        <v>-10.385023049319125</v>
      </c>
      <c r="H50" s="19">
        <v>-21.733527120736504</v>
      </c>
      <c r="I50" s="19">
        <v>-18.516092374320404</v>
      </c>
      <c r="J50" s="19">
        <v>-2.4693065670389576</v>
      </c>
      <c r="K50" s="19">
        <v>-4.3643837470340952</v>
      </c>
    </row>
    <row r="51" spans="1:11" x14ac:dyDescent="0.2">
      <c r="A51" s="36" t="s">
        <v>81</v>
      </c>
      <c r="B51" s="18" t="s">
        <v>7</v>
      </c>
      <c r="C51" s="19">
        <v>-0.60719668119446979</v>
      </c>
      <c r="D51" s="19">
        <v>1.0996906972300038</v>
      </c>
      <c r="E51" s="19">
        <v>0.24962325717661599</v>
      </c>
      <c r="F51" s="19">
        <v>-13.108753668794591</v>
      </c>
      <c r="G51" s="20">
        <v>13.358376925935538</v>
      </c>
      <c r="H51" s="19">
        <v>2.3662860606942209</v>
      </c>
      <c r="I51" s="19">
        <v>3.223105998993967</v>
      </c>
      <c r="J51" s="19">
        <v>17.188679606123973</v>
      </c>
      <c r="K51" s="19">
        <v>15.293602426128837</v>
      </c>
    </row>
    <row r="52" spans="1:11" x14ac:dyDescent="0.2">
      <c r="A52" s="36"/>
      <c r="B52" s="18" t="s">
        <v>119</v>
      </c>
      <c r="C52" s="19">
        <v>-35.129935508548265</v>
      </c>
      <c r="D52" s="19">
        <v>3.4276988865099898</v>
      </c>
      <c r="E52" s="19">
        <v>-32.230035183555287</v>
      </c>
      <c r="F52" s="19">
        <v>-13.778897285606911</v>
      </c>
      <c r="G52" s="20">
        <v>-18.451137897984044</v>
      </c>
      <c r="H52" s="19">
        <v>-29.401408250244316</v>
      </c>
      <c r="I52" s="19">
        <v>-26.501507925322677</v>
      </c>
      <c r="J52" s="19">
        <v>-9.8227103147584582</v>
      </c>
      <c r="K52" s="19">
        <v>-11.717787494753596</v>
      </c>
    </row>
    <row r="53" spans="1:11" x14ac:dyDescent="0.2">
      <c r="A53" s="36" t="s">
        <v>82</v>
      </c>
      <c r="B53" s="18" t="s">
        <v>7</v>
      </c>
      <c r="C53" s="19">
        <v>2.3498699301195396</v>
      </c>
      <c r="D53" s="19">
        <v>1.1062230659199792</v>
      </c>
      <c r="E53" s="19">
        <v>3.1835513557431718</v>
      </c>
      <c r="F53" s="19">
        <v>-13.229232615640484</v>
      </c>
      <c r="G53" s="20">
        <v>16.412783971383657</v>
      </c>
      <c r="H53" s="19">
        <v>5.4594007873516768</v>
      </c>
      <c r="I53" s="19">
        <v>6.2930822129753095</v>
      </c>
      <c r="J53" s="19">
        <v>20.355996254239425</v>
      </c>
      <c r="K53" s="19">
        <v>18.460919074244288</v>
      </c>
    </row>
    <row r="54" spans="1:11" x14ac:dyDescent="0.2">
      <c r="A54" s="36"/>
      <c r="B54" s="18" t="s">
        <v>119</v>
      </c>
      <c r="C54" s="19">
        <v>-25.656294114296976</v>
      </c>
      <c r="D54" s="19">
        <v>3.0935126934699801</v>
      </c>
      <c r="E54" s="19">
        <v>-22.921855328602234</v>
      </c>
      <c r="F54" s="19">
        <v>-13.052183716140092</v>
      </c>
      <c r="G54" s="20">
        <v>-9.8696716124621435</v>
      </c>
      <c r="H54" s="19">
        <v>-20.370849622422423</v>
      </c>
      <c r="I54" s="19">
        <v>-17.636410836727681</v>
      </c>
      <c r="J54" s="19">
        <v>-1.8497883348928452</v>
      </c>
      <c r="K54" s="19">
        <v>-3.7448655148879828</v>
      </c>
    </row>
    <row r="55" spans="1:11" x14ac:dyDescent="0.2">
      <c r="A55" s="36" t="s">
        <v>83</v>
      </c>
      <c r="B55" s="18" t="s">
        <v>7</v>
      </c>
      <c r="C55" s="19">
        <v>1.848105752437182</v>
      </c>
      <c r="D55" s="19">
        <v>1.2350004629000177</v>
      </c>
      <c r="E55" s="19">
        <v>2.6716723052320082</v>
      </c>
      <c r="F55" s="19">
        <v>-13.745496256557518</v>
      </c>
      <c r="G55" s="20">
        <v>16.417168561825196</v>
      </c>
      <c r="H55" s="19">
        <v>3.9660041043281953</v>
      </c>
      <c r="I55" s="19">
        <v>4.7895706571230212</v>
      </c>
      <c r="J55" s="19">
        <v>19.358633466511034</v>
      </c>
      <c r="K55" s="19">
        <v>17.463556286515896</v>
      </c>
    </row>
    <row r="56" spans="1:11" x14ac:dyDescent="0.2">
      <c r="A56" s="36"/>
      <c r="B56" s="18" t="s">
        <v>119</v>
      </c>
      <c r="C56" s="19">
        <v>-24.039766300564587</v>
      </c>
      <c r="D56" s="19">
        <v>3.4533451793400061</v>
      </c>
      <c r="E56" s="19">
        <v>-21.328378105518809</v>
      </c>
      <c r="F56" s="19">
        <v>-14.65010553900165</v>
      </c>
      <c r="G56" s="20">
        <v>-6.6782725664814899</v>
      </c>
      <c r="H56" s="19">
        <v>-19.149713067839162</v>
      </c>
      <c r="I56" s="19">
        <v>-16.438324872793384</v>
      </c>
      <c r="J56" s="19">
        <v>0.92316886128971309</v>
      </c>
      <c r="K56" s="19">
        <v>-0.97190831870542449</v>
      </c>
    </row>
    <row r="57" spans="1:11" x14ac:dyDescent="0.2">
      <c r="A57" s="36" t="s">
        <v>84</v>
      </c>
      <c r="B57" s="18" t="s">
        <v>7</v>
      </c>
      <c r="C57" s="19">
        <v>2.2298730212654747</v>
      </c>
      <c r="D57" s="19">
        <v>1.2444946740700016</v>
      </c>
      <c r="E57" s="19">
        <v>3.0514027977669564</v>
      </c>
      <c r="F57" s="19">
        <v>-13.801505452810732</v>
      </c>
      <c r="G57" s="20">
        <v>16.852908250577688</v>
      </c>
      <c r="H57" s="19">
        <v>5.9417115214842378</v>
      </c>
      <c r="I57" s="19">
        <v>6.7632412979857195</v>
      </c>
      <c r="J57" s="19">
        <v>21.386276527297934</v>
      </c>
      <c r="K57" s="19">
        <v>19.491199347302796</v>
      </c>
    </row>
    <row r="58" spans="1:11" x14ac:dyDescent="0.2">
      <c r="A58" s="36"/>
      <c r="B58" s="18" t="s">
        <v>119</v>
      </c>
      <c r="C58" s="19">
        <v>-22.938986021215864</v>
      </c>
      <c r="D58" s="19">
        <v>3.2822674006700088</v>
      </c>
      <c r="E58" s="19">
        <v>-20.333697252406566</v>
      </c>
      <c r="F58" s="19">
        <v>-14.467083555753828</v>
      </c>
      <c r="G58" s="20">
        <v>-5.8666136966527391</v>
      </c>
      <c r="H58" s="19">
        <v>-17.748549931125815</v>
      </c>
      <c r="I58" s="19">
        <v>-15.143261162316518</v>
      </c>
      <c r="J58" s="19">
        <v>1.9291111622466062</v>
      </c>
      <c r="K58" s="19">
        <v>3.4033982251468614E-2</v>
      </c>
    </row>
    <row r="59" spans="1:11" x14ac:dyDescent="0.2">
      <c r="A59" s="47" t="s">
        <v>85</v>
      </c>
      <c r="B59" s="42" t="s">
        <v>7</v>
      </c>
      <c r="C59" s="43">
        <v>2.8660305724375945</v>
      </c>
      <c r="D59" s="43">
        <v>1.4964709130199845</v>
      </c>
      <c r="E59" s="43">
        <v>3.8495039673065921</v>
      </c>
      <c r="F59" s="43">
        <v>-14.012508374881264</v>
      </c>
      <c r="G59" s="20">
        <v>17.862012342259195</v>
      </c>
      <c r="H59" s="43">
        <v>5.0976630429867775</v>
      </c>
      <c r="I59" s="43">
        <v>6.0811364378557755</v>
      </c>
      <c r="J59" s="43">
        <v>21.077118207677376</v>
      </c>
      <c r="K59" s="43">
        <v>19.182041027682239</v>
      </c>
    </row>
    <row r="60" spans="1:11" x14ac:dyDescent="0.2">
      <c r="A60" s="47"/>
      <c r="B60" s="42" t="s">
        <v>119</v>
      </c>
      <c r="C60" s="43">
        <v>-21.813521853308959</v>
      </c>
      <c r="D60" s="43">
        <v>3.5907257247099751</v>
      </c>
      <c r="E60" s="43">
        <v>-19.082043025085618</v>
      </c>
      <c r="F60" s="43">
        <v>-14.718648059051505</v>
      </c>
      <c r="G60" s="20">
        <v>-4.3633949659627733</v>
      </c>
      <c r="H60" s="43">
        <v>-17.648569598542039</v>
      </c>
      <c r="I60" s="43">
        <v>-14.917090770318699</v>
      </c>
      <c r="J60" s="43">
        <v>2.5330361170274864</v>
      </c>
      <c r="K60" s="43">
        <v>0.63795893703234874</v>
      </c>
    </row>
    <row r="61" spans="1:11" x14ac:dyDescent="0.2">
      <c r="A61" s="48" t="s">
        <v>197</v>
      </c>
      <c r="B61" s="41" t="s">
        <v>7</v>
      </c>
      <c r="C61" s="49" t="s">
        <v>154</v>
      </c>
      <c r="D61" s="49" t="s">
        <v>154</v>
      </c>
      <c r="E61" s="49" t="s">
        <v>154</v>
      </c>
      <c r="F61" s="49" t="s">
        <v>154</v>
      </c>
      <c r="G61" s="51" t="s">
        <v>154</v>
      </c>
      <c r="H61" s="49" t="s">
        <v>154</v>
      </c>
      <c r="I61" s="49" t="s">
        <v>154</v>
      </c>
      <c r="J61" s="49" t="s">
        <v>154</v>
      </c>
      <c r="K61" s="49" t="s">
        <v>154</v>
      </c>
    </row>
    <row r="62" spans="1:11" x14ac:dyDescent="0.2">
      <c r="A62" s="48"/>
      <c r="B62" s="41" t="s">
        <v>119</v>
      </c>
      <c r="C62" s="43">
        <v>-25.485183109508402</v>
      </c>
      <c r="D62" s="43">
        <v>3.130611025549995</v>
      </c>
      <c r="E62" s="43">
        <v>-22.716983919965731</v>
      </c>
      <c r="F62" s="43">
        <v>-13.806866596088863</v>
      </c>
      <c r="G62" s="20">
        <v>-8.9101173238768698</v>
      </c>
      <c r="H62" s="43">
        <v>-20.078599526494504</v>
      </c>
      <c r="I62" s="43">
        <v>-17.310400336951833</v>
      </c>
      <c r="J62" s="43">
        <v>-0.73533455117762125</v>
      </c>
      <c r="K62" s="43">
        <v>-2.6304117311014195</v>
      </c>
    </row>
    <row r="63" spans="1:11" x14ac:dyDescent="0.2">
      <c r="A63" s="48" t="s">
        <v>198</v>
      </c>
      <c r="B63" s="41" t="s">
        <v>7</v>
      </c>
      <c r="C63" s="46" t="s">
        <v>154</v>
      </c>
      <c r="D63" s="46" t="s">
        <v>154</v>
      </c>
      <c r="E63" s="46" t="s">
        <v>154</v>
      </c>
      <c r="F63" s="46" t="s">
        <v>154</v>
      </c>
      <c r="G63" s="52" t="s">
        <v>154</v>
      </c>
      <c r="H63" s="46" t="s">
        <v>154</v>
      </c>
      <c r="I63" s="46" t="s">
        <v>154</v>
      </c>
      <c r="J63" s="46" t="s">
        <v>154</v>
      </c>
      <c r="K63" s="46" t="s">
        <v>154</v>
      </c>
    </row>
    <row r="64" spans="1:11" x14ac:dyDescent="0.2">
      <c r="A64" s="50"/>
      <c r="B64" s="44" t="s">
        <v>119</v>
      </c>
      <c r="C64" s="22">
        <v>-25.836187780639865</v>
      </c>
      <c r="D64" s="22">
        <v>3.1248128423900163</v>
      </c>
      <c r="E64" s="22">
        <v>-23.031131522937564</v>
      </c>
      <c r="F64" s="22">
        <v>-13.128029450701957</v>
      </c>
      <c r="G64" s="23">
        <v>-9.9031020722712793</v>
      </c>
      <c r="H64" s="22">
        <v>-20.496004363503374</v>
      </c>
      <c r="I64" s="22">
        <v>-17.690948105872415</v>
      </c>
      <c r="J64" s="22">
        <v>-1.7578623974324867</v>
      </c>
      <c r="K64" s="22">
        <v>-3.6529395774276243</v>
      </c>
    </row>
  </sheetData>
  <mergeCells count="12">
    <mergeCell ref="A61:A62"/>
    <mergeCell ref="A63:A64"/>
    <mergeCell ref="C47:G47"/>
    <mergeCell ref="H47:K47"/>
    <mergeCell ref="A57:A58"/>
    <mergeCell ref="A59:A60"/>
    <mergeCell ref="C1:G1"/>
    <mergeCell ref="H1:K1"/>
    <mergeCell ref="A49:A50"/>
    <mergeCell ref="A51:A52"/>
    <mergeCell ref="A53:A54"/>
    <mergeCell ref="A55:A5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ECE3E-043C-3945-A5A2-F76DC75713F1}">
  <dimension ref="A1:W55"/>
  <sheetViews>
    <sheetView tabSelected="1" topLeftCell="A28" workbookViewId="0">
      <selection activeCell="H57" sqref="H57"/>
    </sheetView>
  </sheetViews>
  <sheetFormatPr baseColWidth="10" defaultRowHeight="16" x14ac:dyDescent="0.2"/>
  <cols>
    <col min="1" max="1" width="50.5" bestFit="1" customWidth="1"/>
    <col min="2" max="2" width="33.33203125" bestFit="1" customWidth="1"/>
    <col min="4" max="4" width="12.6640625" bestFit="1" customWidth="1"/>
    <col min="5" max="5" width="12.83203125" bestFit="1" customWidth="1"/>
    <col min="15" max="15" width="13.6640625" bestFit="1" customWidth="1"/>
    <col min="22" max="22" width="31.33203125" bestFit="1" customWidth="1"/>
  </cols>
  <sheetData>
    <row r="1" spans="1:23" x14ac:dyDescent="0.2">
      <c r="C1" s="33" t="s">
        <v>0</v>
      </c>
      <c r="D1" s="33"/>
      <c r="E1" s="33"/>
      <c r="F1" s="33"/>
      <c r="G1" s="33"/>
      <c r="H1" s="33" t="s">
        <v>156</v>
      </c>
      <c r="I1" s="33"/>
      <c r="J1" s="33"/>
      <c r="K1" s="33"/>
      <c r="L1" s="33" t="s">
        <v>206</v>
      </c>
      <c r="M1" s="33"/>
      <c r="N1" s="33"/>
      <c r="O1" s="33"/>
      <c r="P1" s="7"/>
      <c r="Q1" s="7"/>
      <c r="R1" s="7"/>
      <c r="S1" s="7"/>
      <c r="T1" s="7"/>
      <c r="U1" s="7"/>
      <c r="V1" s="7"/>
      <c r="W1" s="7"/>
    </row>
    <row r="2" spans="1:23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4</v>
      </c>
      <c r="I2" s="1" t="s">
        <v>6</v>
      </c>
      <c r="J2" s="1" t="s">
        <v>9</v>
      </c>
      <c r="K2" s="1" t="s">
        <v>10</v>
      </c>
      <c r="L2" s="1" t="s">
        <v>4</v>
      </c>
      <c r="M2" s="1" t="s">
        <v>6</v>
      </c>
      <c r="N2" s="1" t="s">
        <v>9</v>
      </c>
      <c r="O2" s="1" t="s">
        <v>10</v>
      </c>
      <c r="P2" s="1"/>
      <c r="Q2" s="1"/>
      <c r="R2" s="1"/>
      <c r="S2" s="1"/>
      <c r="T2" s="1"/>
      <c r="U2" s="1"/>
      <c r="V2" s="1"/>
      <c r="W2" s="1"/>
    </row>
    <row r="3" spans="1:23" x14ac:dyDescent="0.2">
      <c r="A3" s="2" t="s">
        <v>11</v>
      </c>
      <c r="B3" t="s">
        <v>12</v>
      </c>
      <c r="C3" s="3">
        <v>-537.49914999999999</v>
      </c>
      <c r="D3" s="3">
        <v>0.18898200000000001</v>
      </c>
      <c r="E3" s="3">
        <v>-537.29844000000003</v>
      </c>
      <c r="F3" s="3">
        <f>E3-G3</f>
        <v>4.7955999999999221E-2</v>
      </c>
      <c r="G3" s="3">
        <v>-537.34639600000003</v>
      </c>
      <c r="H3" s="3">
        <v>-538.09973018849905</v>
      </c>
      <c r="I3" s="3">
        <v>-537.89357700000005</v>
      </c>
      <c r="J3" s="3">
        <v>-537.94153400000005</v>
      </c>
      <c r="K3" s="3">
        <f>J3+0.00302</f>
        <v>-537.93851400000005</v>
      </c>
      <c r="L3">
        <v>-538.02476721369806</v>
      </c>
      <c r="M3">
        <f t="shared" ref="M3:M12" si="0">L3+E3-C3</f>
        <v>-537.82405721369798</v>
      </c>
      <c r="N3">
        <f t="shared" ref="N3:N12" si="1">M3+G3-C3</f>
        <v>-537.67130321369802</v>
      </c>
      <c r="O3" s="3">
        <f t="shared" ref="O3:O12" si="2">N3+0.00302</f>
        <v>-537.66828321369803</v>
      </c>
    </row>
    <row r="4" spans="1:23" x14ac:dyDescent="0.2">
      <c r="A4" t="s">
        <v>55</v>
      </c>
      <c r="C4">
        <v>-537.516696280166</v>
      </c>
      <c r="D4" s="3">
        <v>0.18620126000000001</v>
      </c>
      <c r="E4">
        <v>-537.3184907054</v>
      </c>
      <c r="F4" s="3">
        <f t="shared" ref="F4:F20" si="3">E4-G4</f>
        <v>4.8887742159990921E-2</v>
      </c>
      <c r="G4">
        <v>-537.36737844755999</v>
      </c>
      <c r="H4">
        <v>-538.18848288132301</v>
      </c>
      <c r="I4">
        <f>H4+E4-C4</f>
        <v>-537.990277306557</v>
      </c>
      <c r="J4" s="3">
        <f>H4+G4-C4</f>
        <v>-538.03916504871711</v>
      </c>
      <c r="K4" s="3">
        <f t="shared" ref="K4" si="4">J4+0.00302</f>
        <v>-538.03614504871712</v>
      </c>
      <c r="L4">
        <v>-538.12200619363705</v>
      </c>
      <c r="M4">
        <f t="shared" si="0"/>
        <v>-537.92380061887104</v>
      </c>
      <c r="N4">
        <f t="shared" si="1"/>
        <v>-537.77448278626514</v>
      </c>
      <c r="O4" s="3">
        <f t="shared" si="2"/>
        <v>-537.77146278626515</v>
      </c>
    </row>
    <row r="5" spans="1:23" x14ac:dyDescent="0.2">
      <c r="A5" t="s">
        <v>171</v>
      </c>
      <c r="B5" t="s">
        <v>176</v>
      </c>
      <c r="C5" s="3">
        <v>-843.69610251520305</v>
      </c>
      <c r="D5" s="3">
        <v>0.29032764</v>
      </c>
      <c r="E5" s="3">
        <v>-843.38714316877804</v>
      </c>
      <c r="F5" s="3">
        <f t="shared" si="3"/>
        <v>6.4927698362907904E-2</v>
      </c>
      <c r="G5" s="3">
        <v>-843.45207086714095</v>
      </c>
      <c r="H5">
        <v>-844.64350924506596</v>
      </c>
      <c r="I5">
        <f t="shared" ref="I5:I6" si="5">H5+E5-C5</f>
        <v>-844.33454989864106</v>
      </c>
      <c r="J5" s="3">
        <f t="shared" ref="J5:J6" si="6">H5+G5-C5</f>
        <v>-844.39947759700374</v>
      </c>
      <c r="K5" s="3">
        <f t="shared" ref="K5:K6" si="7">J5+0.00302</f>
        <v>-844.39645759700375</v>
      </c>
      <c r="L5">
        <v>-844.52771297891798</v>
      </c>
      <c r="M5">
        <f t="shared" ref="M5:M6" si="8">L5+E5-C5</f>
        <v>-844.21875363249285</v>
      </c>
      <c r="N5">
        <f t="shared" ref="N5:N6" si="9">M5+G5-C5</f>
        <v>-843.97472198443086</v>
      </c>
      <c r="O5" s="3">
        <f t="shared" ref="O5:O6" si="10">N5+0.00302</f>
        <v>-843.97170198443087</v>
      </c>
    </row>
    <row r="6" spans="1:23" x14ac:dyDescent="0.2">
      <c r="A6" t="s">
        <v>172</v>
      </c>
      <c r="C6">
        <v>-843.74980255190201</v>
      </c>
      <c r="D6" s="3">
        <v>0.28873170999999997</v>
      </c>
      <c r="E6">
        <v>-843.44262402870595</v>
      </c>
      <c r="F6" s="3">
        <f t="shared" si="3"/>
        <v>6.4050503056023445E-2</v>
      </c>
      <c r="G6">
        <v>-843.50667453176197</v>
      </c>
      <c r="H6">
        <v>-844.77026294310394</v>
      </c>
      <c r="I6">
        <f t="shared" si="5"/>
        <v>-844.46308441990789</v>
      </c>
      <c r="J6" s="3">
        <f t="shared" si="6"/>
        <v>-844.52713492296391</v>
      </c>
      <c r="K6" s="3">
        <f t="shared" si="7"/>
        <v>-844.52411492296392</v>
      </c>
      <c r="L6">
        <v>-844.66014005975296</v>
      </c>
      <c r="M6">
        <f t="shared" si="8"/>
        <v>-844.35296153655702</v>
      </c>
      <c r="N6">
        <f t="shared" si="9"/>
        <v>-844.1098335164171</v>
      </c>
      <c r="O6" s="3">
        <f t="shared" si="10"/>
        <v>-844.10681351641711</v>
      </c>
    </row>
    <row r="7" spans="1:23" x14ac:dyDescent="0.2">
      <c r="A7" t="s">
        <v>129</v>
      </c>
      <c r="B7" t="s">
        <v>140</v>
      </c>
      <c r="C7">
        <v>-465.25345900982001</v>
      </c>
      <c r="D7" s="3">
        <v>0.22958144999999999</v>
      </c>
      <c r="E7">
        <v>-465.01303214514297</v>
      </c>
      <c r="F7" s="3">
        <f t="shared" si="3"/>
        <v>4.6680945673017504E-2</v>
      </c>
      <c r="G7">
        <v>-465.05971309081599</v>
      </c>
      <c r="H7">
        <v>-465.749578003696</v>
      </c>
      <c r="I7">
        <f t="shared" ref="I7:I18" si="11">H7+E7-C7</f>
        <v>-465.50915113901902</v>
      </c>
      <c r="J7" s="3">
        <f t="shared" ref="J7:J18" si="12">H7+G7-C7</f>
        <v>-465.55583208469199</v>
      </c>
      <c r="K7" s="3">
        <f t="shared" ref="K7:K18" si="13">J7+0.00302</f>
        <v>-465.55281208469199</v>
      </c>
      <c r="L7">
        <v>-465.67061768311902</v>
      </c>
      <c r="M7">
        <f t="shared" si="0"/>
        <v>-465.43019081844199</v>
      </c>
      <c r="N7">
        <f t="shared" si="1"/>
        <v>-465.23644489943791</v>
      </c>
      <c r="O7" s="3">
        <f t="shared" si="2"/>
        <v>-465.23342489943792</v>
      </c>
    </row>
    <row r="8" spans="1:23" x14ac:dyDescent="0.2">
      <c r="A8" t="s">
        <v>130</v>
      </c>
      <c r="C8">
        <v>-465.224969544879</v>
      </c>
      <c r="D8" s="3">
        <v>0.22384585000000001</v>
      </c>
      <c r="E8">
        <v>-464.989738643198</v>
      </c>
      <c r="F8" s="3">
        <f t="shared" si="3"/>
        <v>4.7645635882986426E-2</v>
      </c>
      <c r="G8">
        <v>-465.03738427908098</v>
      </c>
      <c r="H8">
        <v>-465.79852300921499</v>
      </c>
      <c r="I8">
        <f t="shared" si="11"/>
        <v>-465.56329210753398</v>
      </c>
      <c r="J8" s="3">
        <f t="shared" si="12"/>
        <v>-465.61093774341697</v>
      </c>
      <c r="K8" s="3">
        <f t="shared" si="13"/>
        <v>-465.60791774341698</v>
      </c>
      <c r="L8">
        <v>-465.72312582220002</v>
      </c>
      <c r="M8">
        <f t="shared" si="0"/>
        <v>-465.48789492051907</v>
      </c>
      <c r="N8">
        <f t="shared" si="1"/>
        <v>-465.30030965472105</v>
      </c>
      <c r="O8" s="3">
        <f t="shared" si="2"/>
        <v>-465.29728965472106</v>
      </c>
    </row>
    <row r="9" spans="1:23" x14ac:dyDescent="0.2">
      <c r="A9" t="s">
        <v>151</v>
      </c>
      <c r="B9" t="s">
        <v>146</v>
      </c>
      <c r="C9">
        <v>-462.07766214089497</v>
      </c>
      <c r="D9" s="3">
        <v>0.19142708</v>
      </c>
      <c r="E9">
        <v>-461.875512656865</v>
      </c>
      <c r="F9" s="3">
        <f t="shared" si="3"/>
        <v>4.5950602810989949E-2</v>
      </c>
      <c r="G9">
        <v>-461.92146325967599</v>
      </c>
      <c r="H9">
        <v>-462.59365616746697</v>
      </c>
      <c r="I9">
        <f t="shared" ref="I9:I10" si="14">H9+E9-C9</f>
        <v>-462.391506683437</v>
      </c>
      <c r="J9" s="3">
        <f t="shared" ref="J9:J10" si="15">H9+G9-C9</f>
        <v>-462.43745728624799</v>
      </c>
      <c r="K9" s="3">
        <f t="shared" ref="K9:K10" si="16">J9+0.00302</f>
        <v>-462.434437286248</v>
      </c>
      <c r="L9">
        <v>-462.51750399478198</v>
      </c>
      <c r="M9">
        <f t="shared" si="0"/>
        <v>-462.31535451075206</v>
      </c>
      <c r="N9">
        <f t="shared" si="1"/>
        <v>-462.15915562953307</v>
      </c>
      <c r="O9" s="3">
        <f t="shared" si="2"/>
        <v>-462.15613562953308</v>
      </c>
    </row>
    <row r="10" spans="1:23" x14ac:dyDescent="0.2">
      <c r="A10" t="s">
        <v>152</v>
      </c>
      <c r="C10">
        <v>-462.05360812108</v>
      </c>
      <c r="D10" s="3">
        <v>0.18626250999999999</v>
      </c>
      <c r="E10">
        <v>-461.85624012667398</v>
      </c>
      <c r="F10" s="3">
        <f t="shared" si="3"/>
        <v>4.6927788708046592E-2</v>
      </c>
      <c r="G10">
        <v>-461.90316791538203</v>
      </c>
      <c r="H10">
        <v>-462.65021469432799</v>
      </c>
      <c r="I10">
        <f t="shared" si="14"/>
        <v>-462.45284669992196</v>
      </c>
      <c r="J10" s="3">
        <f t="shared" si="15"/>
        <v>-462.49977448863007</v>
      </c>
      <c r="K10" s="3">
        <f t="shared" si="16"/>
        <v>-462.49675448863007</v>
      </c>
      <c r="L10">
        <v>-462.576013880765</v>
      </c>
      <c r="M10">
        <f t="shared" si="0"/>
        <v>-462.37864588635904</v>
      </c>
      <c r="N10">
        <f t="shared" si="1"/>
        <v>-462.22820568066101</v>
      </c>
      <c r="O10" s="3">
        <f t="shared" si="2"/>
        <v>-462.22518568066101</v>
      </c>
    </row>
    <row r="11" spans="1:23" x14ac:dyDescent="0.2">
      <c r="A11" t="s">
        <v>131</v>
      </c>
      <c r="B11" t="s">
        <v>142</v>
      </c>
      <c r="C11">
        <v>-573.08082725927</v>
      </c>
      <c r="D11" s="3">
        <v>0.16843385</v>
      </c>
      <c r="E11">
        <v>-572.89897233133195</v>
      </c>
      <c r="F11" s="3">
        <f t="shared" si="3"/>
        <v>5.2312947330051429E-2</v>
      </c>
      <c r="G11">
        <v>-572.951285278662</v>
      </c>
      <c r="H11">
        <v>-573.74382029807396</v>
      </c>
      <c r="I11">
        <f t="shared" si="11"/>
        <v>-573.56196537013591</v>
      </c>
      <c r="J11" s="3">
        <f t="shared" si="12"/>
        <v>-573.61427831746585</v>
      </c>
      <c r="K11" s="3">
        <f t="shared" si="13"/>
        <v>-573.61125831746585</v>
      </c>
      <c r="L11">
        <v>-573.66833766045795</v>
      </c>
      <c r="M11">
        <f t="shared" si="0"/>
        <v>-573.4864827325199</v>
      </c>
      <c r="N11">
        <f t="shared" si="1"/>
        <v>-573.35694075191202</v>
      </c>
      <c r="O11" s="3">
        <f t="shared" si="2"/>
        <v>-573.35392075191203</v>
      </c>
    </row>
    <row r="12" spans="1:23" x14ac:dyDescent="0.2">
      <c r="A12" t="s">
        <v>132</v>
      </c>
      <c r="C12">
        <v>-573.08418328344101</v>
      </c>
      <c r="D12" s="3">
        <v>0.16354503000000001</v>
      </c>
      <c r="E12">
        <v>-572.90680413155906</v>
      </c>
      <c r="F12" s="3">
        <f t="shared" si="3"/>
        <v>5.3904807380945385E-2</v>
      </c>
      <c r="G12">
        <v>-572.96070893894</v>
      </c>
      <c r="H12">
        <v>-573.81808439054203</v>
      </c>
      <c r="I12">
        <f t="shared" si="11"/>
        <v>-573.64070523866008</v>
      </c>
      <c r="J12" s="3">
        <f t="shared" si="12"/>
        <v>-573.69461004604113</v>
      </c>
      <c r="K12" s="3">
        <f t="shared" si="13"/>
        <v>-573.69159004604114</v>
      </c>
      <c r="L12">
        <v>-573.745176226372</v>
      </c>
      <c r="M12">
        <f t="shared" si="0"/>
        <v>-573.56779707449004</v>
      </c>
      <c r="N12">
        <f t="shared" si="1"/>
        <v>-573.44432272998915</v>
      </c>
      <c r="O12" s="3">
        <f t="shared" si="2"/>
        <v>-573.44130272998916</v>
      </c>
    </row>
    <row r="13" spans="1:23" x14ac:dyDescent="0.2">
      <c r="A13" t="s">
        <v>133</v>
      </c>
      <c r="B13" t="s">
        <v>93</v>
      </c>
      <c r="C13">
        <v>-306.15486383101802</v>
      </c>
      <c r="D13" s="3">
        <v>9.6337569999999997E-2</v>
      </c>
      <c r="E13">
        <v>-306.05100245755301</v>
      </c>
      <c r="F13" s="3">
        <f t="shared" si="3"/>
        <v>3.8014524932975746E-2</v>
      </c>
      <c r="G13">
        <v>-306.08901698248599</v>
      </c>
      <c r="H13">
        <v>-306.51056545222201</v>
      </c>
      <c r="I13">
        <f>H13+E13-C13</f>
        <v>-306.406704078757</v>
      </c>
      <c r="J13" s="3">
        <f t="shared" si="12"/>
        <v>-306.44471860369003</v>
      </c>
      <c r="K13" s="3">
        <f t="shared" si="13"/>
        <v>-306.44169860369004</v>
      </c>
      <c r="L13">
        <v>-306.468305968089</v>
      </c>
      <c r="M13">
        <f>L13+E13-C13</f>
        <v>-306.36444459462405</v>
      </c>
      <c r="N13">
        <f>M13+G13-C13</f>
        <v>-306.29859774609201</v>
      </c>
      <c r="O13" s="3">
        <f>N13+0.00302</f>
        <v>-306.29557774609202</v>
      </c>
      <c r="S13" s="3"/>
      <c r="W13" s="3"/>
    </row>
    <row r="14" spans="1:23" x14ac:dyDescent="0.2">
      <c r="A14" t="s">
        <v>134</v>
      </c>
      <c r="C14">
        <v>-306.13547975891601</v>
      </c>
      <c r="D14" s="3">
        <v>9.1360510000000006E-2</v>
      </c>
      <c r="E14">
        <v>-306.036106459422</v>
      </c>
      <c r="F14" s="3">
        <f t="shared" si="3"/>
        <v>3.8687582855970959E-2</v>
      </c>
      <c r="G14">
        <v>-306.07479404227797</v>
      </c>
      <c r="H14">
        <v>-306.58209969568901</v>
      </c>
      <c r="I14">
        <f t="shared" si="11"/>
        <v>-306.48272639619501</v>
      </c>
      <c r="J14" s="3">
        <f t="shared" si="12"/>
        <v>-306.52141397905103</v>
      </c>
      <c r="K14" s="3">
        <f t="shared" si="13"/>
        <v>-306.51839397905104</v>
      </c>
      <c r="L14">
        <v>-306.54454409391701</v>
      </c>
      <c r="M14">
        <f>L14+E14-C14</f>
        <v>-306.44517079442295</v>
      </c>
      <c r="N14">
        <f>M14+G14-C14</f>
        <v>-306.38448507778486</v>
      </c>
      <c r="O14" s="3">
        <f>N14+0.00302</f>
        <v>-306.38146507778487</v>
      </c>
      <c r="S14" s="3"/>
      <c r="W14" s="3"/>
    </row>
    <row r="15" spans="1:23" x14ac:dyDescent="0.2">
      <c r="A15" t="s">
        <v>135</v>
      </c>
      <c r="B15" t="s">
        <v>141</v>
      </c>
      <c r="C15">
        <v>-536.98856231206696</v>
      </c>
      <c r="D15" s="3">
        <v>0.17910640999999999</v>
      </c>
      <c r="E15">
        <v>-536.79755779222205</v>
      </c>
      <c r="F15" s="3">
        <f t="shared" si="3"/>
        <v>4.989664636696034E-2</v>
      </c>
      <c r="G15">
        <v>-536.84745443858901</v>
      </c>
      <c r="H15">
        <v>-537.58981581767705</v>
      </c>
      <c r="I15">
        <f t="shared" si="11"/>
        <v>-537.39881129783203</v>
      </c>
      <c r="J15" s="3">
        <f t="shared" si="12"/>
        <v>-537.44870794419899</v>
      </c>
      <c r="K15" s="3">
        <f t="shared" si="13"/>
        <v>-537.44568794419899</v>
      </c>
      <c r="L15">
        <v>-537.52298632799398</v>
      </c>
      <c r="M15">
        <f t="shared" ref="M15:M21" si="17">L15+E15-C15</f>
        <v>-537.33198180814907</v>
      </c>
      <c r="N15">
        <f t="shared" ref="N15:N21" si="18">M15+G15-C15</f>
        <v>-537.19087393467112</v>
      </c>
      <c r="O15" s="3">
        <f t="shared" ref="O15:O21" si="19">N15+0.00302</f>
        <v>-537.18785393467112</v>
      </c>
    </row>
    <row r="16" spans="1:23" x14ac:dyDescent="0.2">
      <c r="A16" t="s">
        <v>136</v>
      </c>
      <c r="C16">
        <v>-537.00338797428606</v>
      </c>
      <c r="D16" s="3">
        <v>0.17529905000000001</v>
      </c>
      <c r="E16">
        <v>-536.81606979349999</v>
      </c>
      <c r="F16" s="3">
        <f t="shared" si="3"/>
        <v>5.0085656419014413E-2</v>
      </c>
      <c r="G16">
        <v>-536.86615544991901</v>
      </c>
      <c r="H16">
        <v>-537.67594020357501</v>
      </c>
      <c r="I16">
        <f t="shared" si="11"/>
        <v>-537.48862202278895</v>
      </c>
      <c r="J16" s="3">
        <f t="shared" si="12"/>
        <v>-537.53870767920796</v>
      </c>
      <c r="K16" s="3">
        <f t="shared" si="13"/>
        <v>-537.53568767920797</v>
      </c>
      <c r="L16">
        <v>-537.61187059530505</v>
      </c>
      <c r="M16">
        <f t="shared" si="17"/>
        <v>-537.42455241451887</v>
      </c>
      <c r="N16">
        <f t="shared" si="18"/>
        <v>-537.28731989015193</v>
      </c>
      <c r="O16" s="3">
        <f t="shared" si="19"/>
        <v>-537.28429989015194</v>
      </c>
    </row>
    <row r="17" spans="1:23" x14ac:dyDescent="0.2">
      <c r="A17" t="s">
        <v>137</v>
      </c>
      <c r="B17" t="s">
        <v>139</v>
      </c>
      <c r="C17">
        <v>-309.335764742371</v>
      </c>
      <c r="D17" s="3">
        <v>0.13458753000000001</v>
      </c>
      <c r="E17">
        <v>-309.19350677340901</v>
      </c>
      <c r="F17" s="3">
        <f t="shared" si="3"/>
        <v>3.895414212098558E-2</v>
      </c>
      <c r="G17">
        <v>-309.23246091553</v>
      </c>
      <c r="H17">
        <v>-309.67059430864902</v>
      </c>
      <c r="I17">
        <f t="shared" si="11"/>
        <v>-309.52833633968703</v>
      </c>
      <c r="J17" s="3">
        <f t="shared" si="12"/>
        <v>-309.56729048180807</v>
      </c>
      <c r="K17" s="3">
        <f t="shared" si="13"/>
        <v>-309.56427048180808</v>
      </c>
      <c r="L17">
        <v>-309.62629856566201</v>
      </c>
      <c r="M17">
        <f t="shared" si="17"/>
        <v>-309.48404059670008</v>
      </c>
      <c r="N17">
        <f t="shared" si="18"/>
        <v>-309.38073676985903</v>
      </c>
      <c r="O17" s="3">
        <f t="shared" si="19"/>
        <v>-309.37771676985903</v>
      </c>
    </row>
    <row r="18" spans="1:23" x14ac:dyDescent="0.2">
      <c r="A18" t="s">
        <v>138</v>
      </c>
      <c r="C18">
        <v>-309.31245915697298</v>
      </c>
      <c r="D18" s="3">
        <v>0.12927696999999999</v>
      </c>
      <c r="E18">
        <v>-309.17516991711398</v>
      </c>
      <c r="F18" s="3">
        <f t="shared" si="3"/>
        <v>3.9106474137042824E-2</v>
      </c>
      <c r="G18">
        <v>-309.21427639125102</v>
      </c>
      <c r="H18">
        <v>-309.73150320533802</v>
      </c>
      <c r="I18">
        <f t="shared" si="11"/>
        <v>-309.59421396547907</v>
      </c>
      <c r="J18" s="3">
        <f t="shared" si="12"/>
        <v>-309.63332043961611</v>
      </c>
      <c r="K18" s="3">
        <f t="shared" si="13"/>
        <v>-309.63030043961612</v>
      </c>
      <c r="L18">
        <v>-309.68953223063801</v>
      </c>
      <c r="M18">
        <f t="shared" si="17"/>
        <v>-309.55224299077906</v>
      </c>
      <c r="N18">
        <f t="shared" si="18"/>
        <v>-309.45406022505711</v>
      </c>
      <c r="O18" s="3">
        <f t="shared" si="19"/>
        <v>-309.45104022505711</v>
      </c>
    </row>
    <row r="19" spans="1:23" x14ac:dyDescent="0.2">
      <c r="A19" t="s">
        <v>173</v>
      </c>
      <c r="B19" t="s">
        <v>175</v>
      </c>
      <c r="C19">
        <v>-725.92924089799203</v>
      </c>
      <c r="D19" s="3">
        <v>5.6001170000000003E-2</v>
      </c>
      <c r="E19">
        <v>-725.86631946061902</v>
      </c>
      <c r="F19" s="3">
        <f t="shared" si="3"/>
        <v>3.6951616345959337E-2</v>
      </c>
      <c r="G19">
        <v>-725.90327107696498</v>
      </c>
      <c r="H19">
        <v>-726.53689574867201</v>
      </c>
      <c r="I19">
        <f t="shared" ref="I19" si="20">H19+E19-C19</f>
        <v>-726.47397431129889</v>
      </c>
      <c r="J19" s="3">
        <f t="shared" ref="J19" si="21">H19+G19-C19</f>
        <v>-726.51092592764485</v>
      </c>
      <c r="K19" s="3">
        <f t="shared" ref="K19" si="22">J19+0.00302</f>
        <v>-726.50790592764486</v>
      </c>
      <c r="L19">
        <v>-726.47862357491795</v>
      </c>
      <c r="M19">
        <f t="shared" ref="M19:M20" si="23">L19+E19-C19</f>
        <v>-726.41570213754494</v>
      </c>
      <c r="N19">
        <f t="shared" ref="N19:N20" si="24">M19+G19-C19</f>
        <v>-726.38973231651789</v>
      </c>
      <c r="O19" s="3">
        <f t="shared" ref="O19:O20" si="25">N19+0.00302</f>
        <v>-726.3867123165179</v>
      </c>
    </row>
    <row r="20" spans="1:23" x14ac:dyDescent="0.2">
      <c r="A20" t="s">
        <v>174</v>
      </c>
      <c r="C20">
        <v>-725.94221996977205</v>
      </c>
      <c r="D20" s="3">
        <v>5.1106480000000003E-2</v>
      </c>
      <c r="E20">
        <v>-725.88333133406695</v>
      </c>
      <c r="F20" s="3">
        <f t="shared" si="3"/>
        <v>3.8343973781024943E-2</v>
      </c>
      <c r="G20">
        <v>-725.92167530784798</v>
      </c>
      <c r="H20">
        <v>-726.62766031836202</v>
      </c>
      <c r="I20">
        <f t="shared" ref="I20" si="26">H20+E20-C20</f>
        <v>-726.5687716826568</v>
      </c>
      <c r="J20" s="3">
        <f t="shared" ref="J20" si="27">H20+G20-C20</f>
        <v>-726.60711565643794</v>
      </c>
      <c r="K20" s="3">
        <f t="shared" ref="K20" si="28">J20+0.00302</f>
        <v>-726.60409565643795</v>
      </c>
      <c r="L20">
        <v>-726.56974204267397</v>
      </c>
      <c r="M20">
        <f t="shared" si="23"/>
        <v>-726.51085340696898</v>
      </c>
      <c r="N20">
        <f t="shared" si="24"/>
        <v>-726.4903087450449</v>
      </c>
      <c r="O20" s="3">
        <f t="shared" si="25"/>
        <v>-726.48728874504491</v>
      </c>
    </row>
    <row r="21" spans="1:23" x14ac:dyDescent="0.2">
      <c r="A21" t="s">
        <v>56</v>
      </c>
      <c r="C21">
        <v>0</v>
      </c>
      <c r="D21">
        <v>0</v>
      </c>
      <c r="E21">
        <v>0</v>
      </c>
      <c r="F21">
        <v>0</v>
      </c>
      <c r="G21">
        <v>-1.371E-3</v>
      </c>
      <c r="H21">
        <v>0</v>
      </c>
      <c r="I21">
        <v>0</v>
      </c>
      <c r="J21">
        <v>-1.371E-3</v>
      </c>
      <c r="K21">
        <v>-1.371E-3</v>
      </c>
      <c r="L21">
        <v>0</v>
      </c>
      <c r="M21">
        <f t="shared" si="17"/>
        <v>0</v>
      </c>
      <c r="N21">
        <f t="shared" si="18"/>
        <v>-1.371E-3</v>
      </c>
      <c r="O21" s="3">
        <f t="shared" si="19"/>
        <v>1.6490000000000001E-3</v>
      </c>
    </row>
    <row r="22" spans="1:23" x14ac:dyDescent="0.2">
      <c r="G22" s="3"/>
      <c r="O22" s="6"/>
      <c r="P22" s="6"/>
      <c r="Q22" s="6"/>
      <c r="R22" s="6"/>
      <c r="S22" s="6"/>
      <c r="T22" s="6"/>
      <c r="U22" s="6"/>
      <c r="V22" s="6"/>
      <c r="W22" s="6"/>
    </row>
    <row r="24" spans="1:23" x14ac:dyDescent="0.2">
      <c r="S24" s="38" t="s">
        <v>60</v>
      </c>
      <c r="T24" s="38"/>
    </row>
    <row r="25" spans="1:23" x14ac:dyDescent="0.2">
      <c r="B25" s="1" t="s">
        <v>57</v>
      </c>
      <c r="C25" s="1" t="s">
        <v>37</v>
      </c>
      <c r="D25" s="1" t="s">
        <v>38</v>
      </c>
      <c r="E25" s="1" t="s">
        <v>39</v>
      </c>
      <c r="F25" s="1" t="s">
        <v>40</v>
      </c>
      <c r="G25" s="1" t="s">
        <v>41</v>
      </c>
      <c r="H25" s="1" t="s">
        <v>37</v>
      </c>
      <c r="I25" s="1" t="s">
        <v>39</v>
      </c>
      <c r="J25" s="1" t="s">
        <v>42</v>
      </c>
      <c r="K25" s="1" t="s">
        <v>43</v>
      </c>
      <c r="L25" s="1" t="s">
        <v>37</v>
      </c>
      <c r="M25" s="1" t="s">
        <v>39</v>
      </c>
      <c r="N25" s="1" t="s">
        <v>42</v>
      </c>
      <c r="O25" s="1" t="s">
        <v>43</v>
      </c>
      <c r="P25" s="1" t="s">
        <v>58</v>
      </c>
      <c r="Q25" s="1" t="s">
        <v>59</v>
      </c>
      <c r="R25" s="1" t="s">
        <v>112</v>
      </c>
      <c r="S25" s="1" t="s">
        <v>164</v>
      </c>
      <c r="T25" s="1" t="s">
        <v>165</v>
      </c>
      <c r="U25" s="1" t="s">
        <v>150</v>
      </c>
      <c r="V25" s="1" t="s">
        <v>167</v>
      </c>
    </row>
    <row r="26" spans="1:23" x14ac:dyDescent="0.2">
      <c r="A26" t="s">
        <v>11</v>
      </c>
      <c r="B26" t="s">
        <v>162</v>
      </c>
      <c r="C26" s="6">
        <f>(C4-(C3+C$21))*27.212</f>
        <v>-0.4774693758776275</v>
      </c>
      <c r="D26" s="6">
        <f t="shared" ref="D26:O26" si="29">(D4-(D3+D21))*27.212</f>
        <v>-7.5669496880000103E-2</v>
      </c>
      <c r="E26" s="6">
        <f t="shared" si="29"/>
        <v>-0.54561979534390825</v>
      </c>
      <c r="F26" s="6">
        <f t="shared" si="29"/>
        <v>2.5354567657694133E-2</v>
      </c>
      <c r="G26" s="6">
        <f t="shared" si="29"/>
        <v>-0.53366671100298568</v>
      </c>
      <c r="H26" s="6">
        <f t="shared" si="29"/>
        <v>-2.4151382771255854</v>
      </c>
      <c r="I26" s="6">
        <f t="shared" si="29"/>
        <v>-2.6314087420278396</v>
      </c>
      <c r="J26" s="6">
        <f t="shared" si="29"/>
        <v>-2.6194284456900796</v>
      </c>
      <c r="K26" s="6">
        <f t="shared" si="29"/>
        <v>-2.6194284456900796</v>
      </c>
      <c r="L26" s="6">
        <f t="shared" si="29"/>
        <v>-2.6460671220998773</v>
      </c>
      <c r="M26" s="6">
        <f t="shared" si="29"/>
        <v>-2.7142175415692518</v>
      </c>
      <c r="N26" s="6">
        <f t="shared" si="29"/>
        <v>-2.7704148766977035</v>
      </c>
      <c r="O26" s="6">
        <f t="shared" si="29"/>
        <v>-2.852595116697493</v>
      </c>
      <c r="P26">
        <v>4.28</v>
      </c>
      <c r="Q26">
        <v>0.24399999999999999</v>
      </c>
      <c r="R26">
        <v>0.624</v>
      </c>
      <c r="S26" s="6">
        <f>-K26-(P26+Q26)</f>
        <v>-1.9045715543099204</v>
      </c>
      <c r="T26" s="6">
        <f>-O26-(P26+Q26)</f>
        <v>-1.671404883302507</v>
      </c>
      <c r="U26" t="s">
        <v>154</v>
      </c>
    </row>
    <row r="27" spans="1:23" x14ac:dyDescent="0.2">
      <c r="A27" t="s">
        <v>177</v>
      </c>
      <c r="B27" t="s">
        <v>162</v>
      </c>
      <c r="C27" s="6">
        <f>(C6-(C5+C$21))*27.212</f>
        <v>-1.4612853986519894</v>
      </c>
      <c r="D27" s="6">
        <f t="shared" ref="D27:O27" si="30">(D6-(D5+D$21))*27.212</f>
        <v>-4.3428447160000633E-2</v>
      </c>
      <c r="E27" s="6">
        <f t="shared" si="30"/>
        <v>-1.5097451603583223</v>
      </c>
      <c r="F27" s="6">
        <f t="shared" si="30"/>
        <v>-2.3870238690939915E-2</v>
      </c>
      <c r="G27" s="6">
        <f t="shared" si="30"/>
        <v>-1.4485672696687657</v>
      </c>
      <c r="H27" s="6">
        <f t="shared" si="30"/>
        <v>-3.4492216310097104</v>
      </c>
      <c r="I27" s="6">
        <f t="shared" si="30"/>
        <v>-3.4976813927129498</v>
      </c>
      <c r="J27" s="6">
        <f t="shared" si="30"/>
        <v>-3.4365035020295802</v>
      </c>
      <c r="K27" s="6">
        <f t="shared" si="30"/>
        <v>-3.4365035020295802</v>
      </c>
      <c r="L27" s="6">
        <f t="shared" si="30"/>
        <v>-3.6036057236816541</v>
      </c>
      <c r="M27" s="6">
        <f t="shared" si="30"/>
        <v>-3.6520654853941741</v>
      </c>
      <c r="N27" s="6">
        <f t="shared" si="30"/>
        <v>-3.6393473564109504</v>
      </c>
      <c r="O27" s="6">
        <f t="shared" si="30"/>
        <v>-3.7215275964107395</v>
      </c>
      <c r="P27">
        <v>4.28</v>
      </c>
      <c r="Q27">
        <v>0.24399999999999999</v>
      </c>
      <c r="R27">
        <v>0.624</v>
      </c>
      <c r="S27" s="6">
        <f>-K27-(P27+Q27)</f>
        <v>-1.0874964979704198</v>
      </c>
      <c r="T27" s="6">
        <f>-O27-(P27+Q27)</f>
        <v>-0.80247240358926053</v>
      </c>
    </row>
    <row r="28" spans="1:23" x14ac:dyDescent="0.2">
      <c r="A28" t="s">
        <v>157</v>
      </c>
      <c r="B28" t="s">
        <v>163</v>
      </c>
      <c r="C28" s="6">
        <f t="shared" ref="C28:O28" si="31">(C8-(C7+C$21))*27.212</f>
        <v>0.77525531997458619</v>
      </c>
      <c r="D28" s="6">
        <f t="shared" si="31"/>
        <v>-0.15607714719999943</v>
      </c>
      <c r="E28" s="6">
        <f t="shared" si="31"/>
        <v>0.63386277492671206</v>
      </c>
      <c r="F28" s="6">
        <f t="shared" si="31"/>
        <v>2.625114999367429E-2</v>
      </c>
      <c r="G28" s="6">
        <f t="shared" si="31"/>
        <v>0.64491927693320117</v>
      </c>
      <c r="H28" s="6">
        <f t="shared" si="31"/>
        <v>-1.3318914901826939</v>
      </c>
      <c r="I28" s="6">
        <f t="shared" si="31"/>
        <v>-1.4732840352290213</v>
      </c>
      <c r="J28" s="6">
        <f t="shared" si="31"/>
        <v>-1.4622275332240791</v>
      </c>
      <c r="K28" s="6">
        <f t="shared" si="31"/>
        <v>-1.4622275332240791</v>
      </c>
      <c r="L28" s="6">
        <f t="shared" si="31"/>
        <v>-1.4288514806721371</v>
      </c>
      <c r="M28" s="6">
        <f t="shared" si="31"/>
        <v>-1.570244025721558</v>
      </c>
      <c r="N28" s="6">
        <f t="shared" si="31"/>
        <v>-1.7005800687644899</v>
      </c>
      <c r="O28" s="6">
        <f t="shared" si="31"/>
        <v>-1.7827603087642789</v>
      </c>
      <c r="P28">
        <v>4.28</v>
      </c>
      <c r="Q28">
        <v>0.24399999999999999</v>
      </c>
      <c r="R28">
        <v>0.624</v>
      </c>
      <c r="S28" s="6">
        <f t="shared" ref="S28:S33" si="32">-K28-(P28+Q28)</f>
        <v>-3.061772466775921</v>
      </c>
      <c r="T28" s="6">
        <f>-O28-(P28+Q28)</f>
        <v>-2.7412396912357213</v>
      </c>
      <c r="U28" t="s">
        <v>154</v>
      </c>
    </row>
    <row r="29" spans="1:23" x14ac:dyDescent="0.2">
      <c r="A29" t="s">
        <v>158</v>
      </c>
      <c r="B29" t="s">
        <v>163</v>
      </c>
      <c r="C29" s="6">
        <f t="shared" ref="C29:O29" si="33">(C10-(C9+C$21))*27.212</f>
        <v>0.65455798720493086</v>
      </c>
      <c r="D29" s="6">
        <f t="shared" si="33"/>
        <v>-0.1405382788400002</v>
      </c>
      <c r="E29" s="6">
        <f t="shared" si="33"/>
        <v>0.5244440915579619</v>
      </c>
      <c r="F29" s="6">
        <f t="shared" si="33"/>
        <v>2.6591182630705361E-2</v>
      </c>
      <c r="G29" s="6">
        <f t="shared" si="33"/>
        <v>0.53516056092741993</v>
      </c>
      <c r="H29" s="6">
        <f t="shared" si="33"/>
        <v>-1.5390706329418233</v>
      </c>
      <c r="I29" s="6">
        <f t="shared" si="33"/>
        <v>-1.6691845285887923</v>
      </c>
      <c r="J29" s="6">
        <f t="shared" si="33"/>
        <v>-1.6584680592208811</v>
      </c>
      <c r="K29" s="6">
        <f t="shared" si="33"/>
        <v>-1.6584680592208811</v>
      </c>
      <c r="L29" s="6">
        <f t="shared" si="33"/>
        <v>-1.5921710173701633</v>
      </c>
      <c r="M29" s="6">
        <f t="shared" si="33"/>
        <v>-1.7222849130171323</v>
      </c>
      <c r="N29" s="6">
        <f t="shared" si="33"/>
        <v>-1.8416823392930963</v>
      </c>
      <c r="O29" s="6">
        <f t="shared" si="33"/>
        <v>-1.9238625792928856</v>
      </c>
      <c r="P29">
        <v>4.28</v>
      </c>
      <c r="Q29">
        <v>0.24399999999999999</v>
      </c>
      <c r="R29">
        <v>0.624</v>
      </c>
      <c r="S29" s="6">
        <f t="shared" si="32"/>
        <v>-2.8655319407791189</v>
      </c>
      <c r="T29" s="6">
        <f t="shared" ref="T29:T33" si="34">-O29-(P29+Q29)</f>
        <v>-2.6001374207071146</v>
      </c>
      <c r="U29" t="s">
        <v>154</v>
      </c>
    </row>
    <row r="30" spans="1:23" x14ac:dyDescent="0.2">
      <c r="A30" t="s">
        <v>144</v>
      </c>
      <c r="B30" t="s">
        <v>163</v>
      </c>
      <c r="C30" s="6">
        <f t="shared" ref="C30:O30" si="35">(C12-(C11+C$21))*27.212</f>
        <v>-9.1324129741578414E-2</v>
      </c>
      <c r="D30" s="6">
        <f t="shared" si="35"/>
        <v>-0.13303456983999967</v>
      </c>
      <c r="E30" s="6">
        <f t="shared" si="35"/>
        <v>-0.21311894778008855</v>
      </c>
      <c r="F30" s="6">
        <f t="shared" si="35"/>
        <v>4.3317695704926336E-2</v>
      </c>
      <c r="G30" s="6">
        <f t="shared" si="35"/>
        <v>-0.21912899148639825</v>
      </c>
      <c r="H30" s="6">
        <f t="shared" si="35"/>
        <v>-2.0208744842411202</v>
      </c>
      <c r="I30" s="6">
        <f t="shared" si="35"/>
        <v>-2.1426693022796304</v>
      </c>
      <c r="J30" s="6">
        <f t="shared" si="35"/>
        <v>-2.1486793459921274</v>
      </c>
      <c r="K30" s="6">
        <f t="shared" si="35"/>
        <v>-2.1486793459921274</v>
      </c>
      <c r="L30" s="6">
        <f t="shared" si="35"/>
        <v>-2.0909310556529905</v>
      </c>
      <c r="M30" s="6">
        <f t="shared" si="35"/>
        <v>-2.2127258736915003</v>
      </c>
      <c r="N30" s="6">
        <f t="shared" si="35"/>
        <v>-2.3405307354363205</v>
      </c>
      <c r="O30" s="6">
        <f t="shared" si="35"/>
        <v>-2.4227109754361096</v>
      </c>
      <c r="P30">
        <v>4.28</v>
      </c>
      <c r="Q30">
        <v>0.24399999999999999</v>
      </c>
      <c r="R30">
        <v>0.624</v>
      </c>
      <c r="S30" s="6">
        <f t="shared" si="32"/>
        <v>-2.3753206540078726</v>
      </c>
      <c r="T30" s="6">
        <f t="shared" si="34"/>
        <v>-2.1012890245638904</v>
      </c>
      <c r="U30" t="s">
        <v>154</v>
      </c>
    </row>
    <row r="31" spans="1:23" x14ac:dyDescent="0.2">
      <c r="A31" t="s">
        <v>159</v>
      </c>
      <c r="B31" t="s">
        <v>163</v>
      </c>
      <c r="C31" s="6">
        <f t="shared" ref="C31:O31" si="36">(C14-(C13+C$21))*27.212</f>
        <v>0.52747937003999845</v>
      </c>
      <c r="D31" s="6">
        <f t="shared" si="36"/>
        <v>-0.13543575671999977</v>
      </c>
      <c r="E31" s="6">
        <f t="shared" si="36"/>
        <v>0.40534990114104263</v>
      </c>
      <c r="F31" s="6">
        <f t="shared" si="36"/>
        <v>1.831525220054573E-2</v>
      </c>
      <c r="G31" s="6">
        <f t="shared" si="36"/>
        <v>0.42434230094066039</v>
      </c>
      <c r="H31" s="6">
        <f t="shared" si="36"/>
        <v>-1.9465898332239826</v>
      </c>
      <c r="I31" s="6">
        <f t="shared" si="36"/>
        <v>-2.0687193021229384</v>
      </c>
      <c r="J31" s="6">
        <f t="shared" si="36"/>
        <v>-2.0497269023233207</v>
      </c>
      <c r="K31" s="6">
        <f t="shared" si="36"/>
        <v>-2.0497269023233207</v>
      </c>
      <c r="L31" s="6">
        <f t="shared" si="36"/>
        <v>-2.0745918800318877</v>
      </c>
      <c r="M31" s="6">
        <f t="shared" si="36"/>
        <v>-2.19672134892775</v>
      </c>
      <c r="N31" s="6">
        <f t="shared" si="36"/>
        <v>-2.2998584180255413</v>
      </c>
      <c r="O31" s="6">
        <f t="shared" si="36"/>
        <v>-2.3820386580253303</v>
      </c>
      <c r="P31">
        <v>4.28</v>
      </c>
      <c r="Q31">
        <v>0.24399999999999999</v>
      </c>
      <c r="R31">
        <v>0.624</v>
      </c>
      <c r="S31" s="6">
        <f t="shared" si="32"/>
        <v>-2.4742730976766794</v>
      </c>
      <c r="T31" s="6">
        <f t="shared" si="34"/>
        <v>-2.1419613419746697</v>
      </c>
      <c r="U31" s="10" t="s">
        <v>155</v>
      </c>
      <c r="V31" s="6"/>
    </row>
    <row r="32" spans="1:23" x14ac:dyDescent="0.2">
      <c r="A32" t="s">
        <v>160</v>
      </c>
      <c r="B32" t="s">
        <v>163</v>
      </c>
      <c r="C32" s="6">
        <f t="shared" ref="C32:O32" si="37">(C16-(C15+C$21))*27.212</f>
        <v>-0.40343592030603076</v>
      </c>
      <c r="D32" s="6">
        <f t="shared" si="37"/>
        <v>-0.10360588031999951</v>
      </c>
      <c r="E32" s="6">
        <f t="shared" si="37"/>
        <v>-0.50374857877532309</v>
      </c>
      <c r="F32" s="6">
        <f t="shared" si="37"/>
        <v>5.1433415364954271E-3</v>
      </c>
      <c r="G32" s="6">
        <f t="shared" si="37"/>
        <v>-0.47158426831320183</v>
      </c>
      <c r="H32" s="6">
        <f t="shared" si="37"/>
        <v>-2.3436167890553028</v>
      </c>
      <c r="I32" s="6">
        <f t="shared" si="37"/>
        <v>-2.4439294475276889</v>
      </c>
      <c r="J32" s="6">
        <f t="shared" si="37"/>
        <v>-2.4117651370655677</v>
      </c>
      <c r="K32" s="6">
        <f t="shared" si="37"/>
        <v>-2.4117651370655677</v>
      </c>
      <c r="L32" s="6">
        <f t="shared" si="37"/>
        <v>-2.4187186820689188</v>
      </c>
      <c r="M32" s="6">
        <f t="shared" si="37"/>
        <v>-2.5190313405351175</v>
      </c>
      <c r="N32" s="6">
        <f t="shared" si="37"/>
        <v>-2.5871796885453824</v>
      </c>
      <c r="O32" s="6">
        <f t="shared" si="37"/>
        <v>-2.6693599285451715</v>
      </c>
      <c r="P32">
        <v>4.28</v>
      </c>
      <c r="Q32">
        <v>0.24399999999999999</v>
      </c>
      <c r="R32">
        <v>0.624</v>
      </c>
      <c r="S32" s="6">
        <f t="shared" si="32"/>
        <v>-2.1122348629344323</v>
      </c>
      <c r="T32" s="6">
        <f t="shared" si="34"/>
        <v>-1.8546400714548286</v>
      </c>
      <c r="U32">
        <v>-1.87</v>
      </c>
      <c r="V32" s="6" t="s">
        <v>168</v>
      </c>
    </row>
    <row r="33" spans="1:22" x14ac:dyDescent="0.2">
      <c r="A33" t="s">
        <v>161</v>
      </c>
      <c r="B33" t="s">
        <v>163</v>
      </c>
      <c r="C33" s="6">
        <f t="shared" ref="C33:O33" si="38">(C18-(C17+C$21))*27.212</f>
        <v>0.63419158985093149</v>
      </c>
      <c r="D33" s="6">
        <f t="shared" si="38"/>
        <v>-0.14451095872000053</v>
      </c>
      <c r="E33" s="6">
        <f t="shared" si="38"/>
        <v>0.4989825335005289</v>
      </c>
      <c r="F33" s="6">
        <f t="shared" si="38"/>
        <v>4.1452588209497203E-3</v>
      </c>
      <c r="G33" s="6">
        <f t="shared" si="38"/>
        <v>0.53214492667974267</v>
      </c>
      <c r="H33" s="6">
        <f t="shared" si="38"/>
        <v>-1.6574528967010653</v>
      </c>
      <c r="I33" s="6">
        <f t="shared" si="38"/>
        <v>-1.7926619530530148</v>
      </c>
      <c r="J33" s="6">
        <f t="shared" si="38"/>
        <v>-1.7594995598722543</v>
      </c>
      <c r="K33" s="6">
        <f t="shared" si="38"/>
        <v>-1.7594995598722543</v>
      </c>
      <c r="L33" s="6">
        <f t="shared" si="38"/>
        <v>-1.7207144913268131</v>
      </c>
      <c r="M33" s="6">
        <f t="shared" si="38"/>
        <v>-1.8559235476772156</v>
      </c>
      <c r="N33" s="6">
        <f t="shared" si="38"/>
        <v>-1.9579702108499513</v>
      </c>
      <c r="O33" s="6">
        <f t="shared" si="38"/>
        <v>-2.0401504508497403</v>
      </c>
      <c r="P33">
        <v>4.28</v>
      </c>
      <c r="Q33">
        <v>0.24399999999999999</v>
      </c>
      <c r="R33">
        <v>0.624</v>
      </c>
      <c r="S33" s="6">
        <f t="shared" si="32"/>
        <v>-2.7645004401277458</v>
      </c>
      <c r="T33" s="6">
        <f t="shared" si="34"/>
        <v>-2.4838495491502597</v>
      </c>
      <c r="U33">
        <v>-2.4500000000000002</v>
      </c>
      <c r="V33" s="31" t="s">
        <v>166</v>
      </c>
    </row>
    <row r="34" spans="1:22" x14ac:dyDescent="0.2">
      <c r="A34" t="s">
        <v>178</v>
      </c>
      <c r="B34" t="s">
        <v>163</v>
      </c>
      <c r="C34" s="6">
        <f>(C20-(C19+C$21))*27.212</f>
        <v>-0.35318650127799489</v>
      </c>
      <c r="D34" s="6">
        <f t="shared" ref="D34:O34" si="39">(D20-(D19+D$21))*27.212</f>
        <v>-0.13319430428000001</v>
      </c>
      <c r="E34" s="6">
        <f t="shared" si="39"/>
        <v>-0.46292710026500117</v>
      </c>
      <c r="F34" s="6">
        <f t="shared" si="39"/>
        <v>3.7888830523005256E-2</v>
      </c>
      <c r="G34" s="6">
        <f t="shared" si="39"/>
        <v>-0.46350827878938983</v>
      </c>
      <c r="H34" s="6">
        <f t="shared" si="39"/>
        <v>-2.4698854704045252</v>
      </c>
      <c r="I34" s="6">
        <f t="shared" si="39"/>
        <v>-2.5796260693915314</v>
      </c>
      <c r="J34" s="6">
        <f t="shared" si="39"/>
        <v>-2.5802072479190139</v>
      </c>
      <c r="K34" s="6">
        <f t="shared" si="39"/>
        <v>-2.5802072479190139</v>
      </c>
      <c r="L34" s="6">
        <f t="shared" si="39"/>
        <v>-2.4795157445767786</v>
      </c>
      <c r="M34" s="6">
        <f t="shared" si="39"/>
        <v>-2.5892563435668783</v>
      </c>
      <c r="N34" s="6">
        <f t="shared" si="39"/>
        <v>-2.6995781210782734</v>
      </c>
      <c r="O34" s="6">
        <f t="shared" si="39"/>
        <v>-2.7817583610780625</v>
      </c>
      <c r="P34">
        <v>4.28</v>
      </c>
      <c r="Q34">
        <v>0.24399999999999999</v>
      </c>
      <c r="R34">
        <v>0.624</v>
      </c>
      <c r="S34" s="6">
        <f t="shared" ref="S34" si="40">-K34-(P34+Q34)</f>
        <v>-1.9437927520809861</v>
      </c>
      <c r="T34" s="6">
        <f t="shared" ref="T34" si="41">-O34-(P34+Q34)</f>
        <v>-1.7422416389219375</v>
      </c>
      <c r="V34" s="31"/>
    </row>
    <row r="35" spans="1:22" x14ac:dyDescent="0.2">
      <c r="A35" t="s">
        <v>61</v>
      </c>
      <c r="B35" t="s">
        <v>62</v>
      </c>
      <c r="P35">
        <v>4.28</v>
      </c>
      <c r="Q35">
        <v>0.24399999999999999</v>
      </c>
      <c r="R35">
        <v>0.624</v>
      </c>
      <c r="S35" s="32">
        <f>U35+(R35-Q26)</f>
        <v>-1.3399999999999999</v>
      </c>
      <c r="T35" s="32">
        <f>U35+(R35-Q26)</f>
        <v>-1.3399999999999999</v>
      </c>
      <c r="U35">
        <v>-1.72</v>
      </c>
      <c r="V35" t="s">
        <v>169</v>
      </c>
    </row>
    <row r="36" spans="1:22" x14ac:dyDescent="0.2">
      <c r="Q36" s="6"/>
    </row>
    <row r="37" spans="1:22" x14ac:dyDescent="0.2">
      <c r="C37" s="38" t="s">
        <v>164</v>
      </c>
      <c r="D37" s="38"/>
      <c r="E37" s="38" t="s">
        <v>165</v>
      </c>
      <c r="F37" s="38"/>
    </row>
    <row r="38" spans="1:22" x14ac:dyDescent="0.2">
      <c r="A38" s="1" t="s">
        <v>63</v>
      </c>
      <c r="B38" s="1" t="s">
        <v>64</v>
      </c>
      <c r="C38" s="1" t="s">
        <v>170</v>
      </c>
      <c r="D38" s="1" t="s">
        <v>65</v>
      </c>
      <c r="E38" s="1" t="s">
        <v>170</v>
      </c>
      <c r="F38" s="1" t="s">
        <v>65</v>
      </c>
    </row>
    <row r="39" spans="1:22" x14ac:dyDescent="0.2">
      <c r="A39" t="s">
        <v>66</v>
      </c>
      <c r="B39" t="s">
        <v>61</v>
      </c>
      <c r="C39" s="6">
        <f>S26-S$35</f>
        <v>-0.56457155430992056</v>
      </c>
      <c r="D39" s="5">
        <f>-C39*23.06</f>
        <v>13.019020042386767</v>
      </c>
      <c r="E39" s="6">
        <f t="shared" ref="E39:E45" si="42">T26-T$35</f>
        <v>-0.33140488330250717</v>
      </c>
      <c r="F39" s="5">
        <f>-E39*23.06</f>
        <v>7.6421966089558149</v>
      </c>
      <c r="O39" s="3"/>
    </row>
    <row r="40" spans="1:22" x14ac:dyDescent="0.2">
      <c r="A40" t="s">
        <v>179</v>
      </c>
      <c r="B40" t="s">
        <v>61</v>
      </c>
      <c r="C40" s="6">
        <f t="shared" ref="C40:C46" si="43">S27-S$35</f>
        <v>0.25250350202958005</v>
      </c>
      <c r="D40" s="5">
        <f>-C40*23.06</f>
        <v>-5.822730756802116</v>
      </c>
      <c r="E40" s="6">
        <f t="shared" si="42"/>
        <v>0.53752759641073933</v>
      </c>
      <c r="F40" s="5">
        <f>-E40*23.06</f>
        <v>-12.395386373231648</v>
      </c>
      <c r="O40" s="3"/>
    </row>
    <row r="41" spans="1:22" x14ac:dyDescent="0.2">
      <c r="A41" t="s">
        <v>143</v>
      </c>
      <c r="B41" t="s">
        <v>61</v>
      </c>
      <c r="C41" s="6">
        <f t="shared" si="43"/>
        <v>-1.7217724667759211</v>
      </c>
      <c r="D41" s="5">
        <f t="shared" ref="D41:D46" si="44">-C41*23.06</f>
        <v>39.704073083852741</v>
      </c>
      <c r="E41" s="6">
        <f t="shared" si="42"/>
        <v>-1.4012396912357215</v>
      </c>
      <c r="F41" s="5">
        <f t="shared" ref="F41:F44" si="45">-E41*23.06</f>
        <v>32.312587279895737</v>
      </c>
    </row>
    <row r="42" spans="1:22" x14ac:dyDescent="0.2">
      <c r="A42" t="s">
        <v>153</v>
      </c>
      <c r="B42" t="s">
        <v>61</v>
      </c>
      <c r="C42" s="6">
        <f t="shared" si="43"/>
        <v>-1.525531940779119</v>
      </c>
      <c r="D42" s="5">
        <f t="shared" si="44"/>
        <v>35.178766554366483</v>
      </c>
      <c r="E42" s="6">
        <f t="shared" si="42"/>
        <v>-1.2601374207071148</v>
      </c>
      <c r="F42" s="5">
        <f t="shared" si="45"/>
        <v>29.058768921506065</v>
      </c>
    </row>
    <row r="43" spans="1:22" x14ac:dyDescent="0.2">
      <c r="A43" t="s">
        <v>145</v>
      </c>
      <c r="B43" t="s">
        <v>61</v>
      </c>
      <c r="C43" s="6">
        <f t="shared" si="43"/>
        <v>-1.0353206540078728</v>
      </c>
      <c r="D43" s="5">
        <f t="shared" si="44"/>
        <v>23.874494281421544</v>
      </c>
      <c r="E43" s="6">
        <f t="shared" si="42"/>
        <v>-0.76128902456389058</v>
      </c>
      <c r="F43" s="5">
        <f t="shared" si="45"/>
        <v>17.555324906443317</v>
      </c>
    </row>
    <row r="44" spans="1:22" x14ac:dyDescent="0.2">
      <c r="A44" t="s">
        <v>147</v>
      </c>
      <c r="B44" t="s">
        <v>61</v>
      </c>
      <c r="C44" s="6">
        <f t="shared" si="43"/>
        <v>-1.1342730976766795</v>
      </c>
      <c r="D44" s="5">
        <f t="shared" si="44"/>
        <v>26.156337632424229</v>
      </c>
      <c r="E44" s="6">
        <f t="shared" si="42"/>
        <v>-0.80196134197466984</v>
      </c>
      <c r="F44" s="5">
        <f t="shared" si="45"/>
        <v>18.493228545935885</v>
      </c>
    </row>
    <row r="45" spans="1:22" x14ac:dyDescent="0.2">
      <c r="A45" t="s">
        <v>148</v>
      </c>
      <c r="B45" t="s">
        <v>61</v>
      </c>
      <c r="C45" s="6">
        <f t="shared" si="43"/>
        <v>-0.77223486293443244</v>
      </c>
      <c r="D45" s="5">
        <f t="shared" si="44"/>
        <v>17.80773593926801</v>
      </c>
      <c r="E45" s="6">
        <f t="shared" si="42"/>
        <v>-0.51464007145482871</v>
      </c>
      <c r="F45" s="5">
        <f>-E45*23.06</f>
        <v>11.867600047748349</v>
      </c>
    </row>
    <row r="46" spans="1:22" x14ac:dyDescent="0.2">
      <c r="A46" t="s">
        <v>149</v>
      </c>
      <c r="B46" t="s">
        <v>61</v>
      </c>
      <c r="C46" s="6">
        <f t="shared" si="43"/>
        <v>-1.4245004401277459</v>
      </c>
      <c r="D46" s="5">
        <f t="shared" si="44"/>
        <v>32.84898014934582</v>
      </c>
      <c r="E46" s="6">
        <f>T33-T$35</f>
        <v>-1.1438495491502598</v>
      </c>
      <c r="F46" s="5">
        <f>-E46*23.06</f>
        <v>26.377170603404991</v>
      </c>
    </row>
    <row r="47" spans="1:22" x14ac:dyDescent="0.2">
      <c r="A47" t="s">
        <v>180</v>
      </c>
      <c r="B47" t="s">
        <v>61</v>
      </c>
      <c r="C47" s="6">
        <f>S34-S$35</f>
        <v>-0.60379275208098626</v>
      </c>
      <c r="D47" s="5">
        <f t="shared" ref="D47" si="46">-C47*23.06</f>
        <v>13.923460862987543</v>
      </c>
      <c r="E47" s="6">
        <f>T34-T$35</f>
        <v>-0.40224163892193765</v>
      </c>
      <c r="F47" s="5">
        <f>-E47*23.06</f>
        <v>9.2756921935398822</v>
      </c>
    </row>
    <row r="51" spans="1:11" x14ac:dyDescent="0.2">
      <c r="A51" s="24"/>
      <c r="B51" s="34" t="s">
        <v>0</v>
      </c>
      <c r="C51" s="34"/>
      <c r="D51" s="34"/>
      <c r="E51" s="34"/>
      <c r="F51" s="34"/>
      <c r="G51" s="56" t="s">
        <v>206</v>
      </c>
      <c r="H51" s="57"/>
      <c r="I51" s="57"/>
      <c r="J51" s="57"/>
      <c r="K51" s="57"/>
    </row>
    <row r="52" spans="1:11" x14ac:dyDescent="0.2">
      <c r="A52" s="16" t="s">
        <v>204</v>
      </c>
      <c r="B52" s="16" t="s">
        <v>37</v>
      </c>
      <c r="C52" s="16" t="s">
        <v>38</v>
      </c>
      <c r="D52" s="16" t="s">
        <v>39</v>
      </c>
      <c r="E52" s="16" t="s">
        <v>40</v>
      </c>
      <c r="F52" s="17" t="s">
        <v>120</v>
      </c>
      <c r="G52" s="16" t="s">
        <v>37</v>
      </c>
      <c r="H52" s="16" t="s">
        <v>39</v>
      </c>
      <c r="I52" s="17" t="s">
        <v>121</v>
      </c>
      <c r="J52" s="16" t="s">
        <v>200</v>
      </c>
      <c r="K52" s="16" t="s">
        <v>201</v>
      </c>
    </row>
    <row r="53" spans="1:11" x14ac:dyDescent="0.2">
      <c r="A53" s="18" t="s">
        <v>202</v>
      </c>
      <c r="B53" s="19">
        <f>(-0.477469375877627/27.212)*627.509</f>
        <v>-11.010448720696527</v>
      </c>
      <c r="C53" s="19">
        <f>-0.0756694968800001/27.212*627.509</f>
        <v>-1.7449393766600023</v>
      </c>
      <c r="D53" s="19">
        <f>-0.545619795343908/27.212*627.509</f>
        <v>-12.58199809482803</v>
      </c>
      <c r="E53" s="19">
        <f>0.0253545676576941/27.212*627.509</f>
        <v>0.58467659107423076</v>
      </c>
      <c r="F53" s="20">
        <f>-0.533666711002986/27.212*627.509</f>
        <v>-12.306359846934175</v>
      </c>
      <c r="G53" s="19">
        <f>-2.64606712209988/27.212*627.509</f>
        <v>-61.018335062537616</v>
      </c>
      <c r="H53" s="19">
        <f>-2.71421754156925/27.212*627.509</f>
        <v>-62.589884436740356</v>
      </c>
      <c r="I53" s="20">
        <f>-2.85259511669749/27.212*627.509</f>
        <v>-65.780872743044441</v>
      </c>
      <c r="J53" s="45">
        <f>-I53/627.509*27.212</f>
        <v>2.8525951166974903</v>
      </c>
      <c r="K53" s="45">
        <f>J53-(P26+Q26)</f>
        <v>-1.6714048833025097</v>
      </c>
    </row>
    <row r="54" spans="1:11" x14ac:dyDescent="0.2">
      <c r="A54" s="18" t="s">
        <v>203</v>
      </c>
      <c r="B54" s="19">
        <f>-1.46128539865199/27.212*627.509</f>
        <v>-33.697256328925164</v>
      </c>
      <c r="C54" s="19">
        <f>-0.0434284471600006/27.212*627.509</f>
        <v>-1.0014604383700139</v>
      </c>
      <c r="D54" s="19">
        <f>-1.50974516035832/27.212*627.509</f>
        <v>-34.814738932503644</v>
      </c>
      <c r="E54" s="19">
        <f>-0.0238702386909399/27.212*627.509</f>
        <v>-0.55044794982776013</v>
      </c>
      <c r="F54" s="20">
        <f>-1.44856726966877/27.212*627.509</f>
        <v>-33.403976143707929</v>
      </c>
      <c r="G54" s="19">
        <f>-3.60360572368165/27.212*627.509</f>
        <v>-83.099185067681489</v>
      </c>
      <c r="H54" s="19">
        <f>-3.65206548539417/27.212*627.509</f>
        <v>-84.216667671402703</v>
      </c>
      <c r="I54" s="20">
        <f>-3.72152759641074/27.212*627.509</f>
        <v>-85.818464666180631</v>
      </c>
      <c r="J54" s="45">
        <f>-I54/627.509*27.212</f>
        <v>3.7215275964107404</v>
      </c>
      <c r="K54" s="45">
        <f>J54-(P27+Q27)</f>
        <v>-0.80247240358925964</v>
      </c>
    </row>
    <row r="55" spans="1:11" x14ac:dyDescent="0.2">
      <c r="A55" s="21" t="s">
        <v>199</v>
      </c>
      <c r="B55" s="21" t="s">
        <v>154</v>
      </c>
      <c r="C55" s="21" t="s">
        <v>154</v>
      </c>
      <c r="D55" s="21" t="s">
        <v>154</v>
      </c>
      <c r="E55" s="21" t="s">
        <v>154</v>
      </c>
      <c r="F55" s="53" t="s">
        <v>154</v>
      </c>
      <c r="G55" s="21" t="s">
        <v>154</v>
      </c>
      <c r="H55" s="21" t="s">
        <v>154</v>
      </c>
      <c r="I55" s="53" t="s">
        <v>154</v>
      </c>
      <c r="J55" s="21" t="s">
        <v>154</v>
      </c>
      <c r="K55" s="55" t="s">
        <v>207</v>
      </c>
    </row>
  </sheetData>
  <mergeCells count="8">
    <mergeCell ref="B51:F51"/>
    <mergeCell ref="G51:K51"/>
    <mergeCell ref="C1:G1"/>
    <mergeCell ref="H1:K1"/>
    <mergeCell ref="L1:O1"/>
    <mergeCell ref="S24:T24"/>
    <mergeCell ref="C37:D37"/>
    <mergeCell ref="E37:F37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557A1-BB10-8942-8D6F-6D2E0F7B8559}">
  <dimension ref="A1:L45"/>
  <sheetViews>
    <sheetView topLeftCell="A21" workbookViewId="0">
      <selection activeCell="E11" sqref="E11"/>
    </sheetView>
  </sheetViews>
  <sheetFormatPr baseColWidth="10" defaultRowHeight="16" x14ac:dyDescent="0.2"/>
  <cols>
    <col min="1" max="1" width="21.83203125" bestFit="1" customWidth="1"/>
    <col min="2" max="2" width="19" customWidth="1"/>
    <col min="3" max="3" width="12.33203125" customWidth="1"/>
    <col min="5" max="5" width="14.6640625" bestFit="1" customWidth="1"/>
  </cols>
  <sheetData>
    <row r="1" spans="1:12" x14ac:dyDescent="0.2">
      <c r="C1" s="38" t="s">
        <v>74</v>
      </c>
      <c r="D1" s="38"/>
      <c r="E1" s="1" t="s">
        <v>90</v>
      </c>
    </row>
    <row r="2" spans="1:12" x14ac:dyDescent="0.2">
      <c r="A2" s="1" t="s">
        <v>2</v>
      </c>
      <c r="B2" s="1" t="s">
        <v>73</v>
      </c>
      <c r="C2" s="1" t="s">
        <v>75</v>
      </c>
      <c r="D2" s="8" t="s">
        <v>76</v>
      </c>
      <c r="E2" s="8" t="s">
        <v>91</v>
      </c>
      <c r="F2" s="7"/>
      <c r="G2" s="7"/>
      <c r="H2" s="7"/>
      <c r="I2" s="7"/>
      <c r="J2" s="7"/>
      <c r="K2" s="7"/>
      <c r="L2" s="7"/>
    </row>
    <row r="3" spans="1:12" x14ac:dyDescent="0.2">
      <c r="A3" s="2" t="s">
        <v>11</v>
      </c>
      <c r="B3">
        <v>1.4039999999999999</v>
      </c>
      <c r="C3">
        <v>0.47799999999999998</v>
      </c>
      <c r="D3" s="9">
        <v>0.67229000000000005</v>
      </c>
      <c r="E3">
        <v>62.1</v>
      </c>
      <c r="F3" s="1"/>
      <c r="G3" s="1"/>
      <c r="H3" s="1"/>
      <c r="I3" s="1"/>
      <c r="J3" s="1"/>
      <c r="K3" s="1"/>
      <c r="L3" s="1"/>
    </row>
    <row r="4" spans="1:12" x14ac:dyDescent="0.2">
      <c r="A4" t="s">
        <v>17</v>
      </c>
      <c r="B4">
        <v>1.41</v>
      </c>
      <c r="C4">
        <v>0.48299999999999998</v>
      </c>
      <c r="D4" s="9">
        <v>0.67386000000000001</v>
      </c>
      <c r="E4">
        <v>65.099999999999994</v>
      </c>
      <c r="F4" s="3"/>
      <c r="G4" s="3"/>
      <c r="H4" s="3"/>
      <c r="I4" s="3"/>
      <c r="J4" s="3"/>
      <c r="K4" s="3"/>
      <c r="L4" s="3"/>
    </row>
    <row r="5" spans="1:12" x14ac:dyDescent="0.2">
      <c r="A5" t="s">
        <v>71</v>
      </c>
      <c r="B5">
        <v>1.431</v>
      </c>
      <c r="C5">
        <v>0.50700000000000001</v>
      </c>
      <c r="D5" s="9">
        <v>0.69969000000000003</v>
      </c>
      <c r="E5">
        <v>59.1</v>
      </c>
      <c r="F5" s="3"/>
      <c r="G5" s="3"/>
      <c r="H5" s="3"/>
      <c r="I5" s="3"/>
      <c r="J5" s="3"/>
      <c r="K5" s="3"/>
      <c r="L5" s="3"/>
    </row>
    <row r="6" spans="1:12" x14ac:dyDescent="0.2">
      <c r="A6" t="s">
        <v>34</v>
      </c>
      <c r="B6">
        <v>1.407</v>
      </c>
      <c r="C6">
        <v>0.60399999999999998</v>
      </c>
      <c r="D6" s="9">
        <v>0.74670999999999998</v>
      </c>
      <c r="E6">
        <v>51.8</v>
      </c>
      <c r="F6" s="3"/>
      <c r="G6" s="3"/>
      <c r="H6" s="3"/>
      <c r="I6" s="3"/>
      <c r="J6" s="3"/>
      <c r="K6" s="3"/>
      <c r="L6" s="3"/>
    </row>
    <row r="7" spans="1:12" x14ac:dyDescent="0.2">
      <c r="A7" t="s">
        <v>72</v>
      </c>
      <c r="B7">
        <v>1.3979999999999999</v>
      </c>
      <c r="C7">
        <v>0.47</v>
      </c>
      <c r="D7" s="9">
        <v>0.66744000000000003</v>
      </c>
      <c r="E7">
        <v>66.2</v>
      </c>
      <c r="F7" s="3"/>
      <c r="G7" s="3"/>
      <c r="H7" s="3"/>
      <c r="I7" s="3"/>
      <c r="J7" s="3"/>
      <c r="K7" s="3"/>
      <c r="L7" s="3"/>
    </row>
    <row r="8" spans="1:12" x14ac:dyDescent="0.2">
      <c r="A8" t="s">
        <v>29</v>
      </c>
      <c r="B8">
        <v>1.429</v>
      </c>
      <c r="C8">
        <v>0.48799999999999999</v>
      </c>
      <c r="D8" s="9">
        <v>0.68306999999999995</v>
      </c>
      <c r="E8">
        <v>60.4</v>
      </c>
      <c r="F8" s="3"/>
      <c r="G8" s="3"/>
      <c r="H8" s="3"/>
      <c r="I8" s="3"/>
      <c r="J8" s="3"/>
      <c r="K8" s="3"/>
      <c r="L8" s="3"/>
    </row>
    <row r="9" spans="1:12" x14ac:dyDescent="0.2">
      <c r="A9" t="s">
        <v>181</v>
      </c>
      <c r="B9">
        <v>1.4039999999999999</v>
      </c>
      <c r="C9" s="9">
        <v>0.48396699999999998</v>
      </c>
      <c r="D9" s="9">
        <v>0.66803000000000001</v>
      </c>
      <c r="E9" s="3" t="s">
        <v>154</v>
      </c>
      <c r="F9" s="3"/>
      <c r="G9" s="3"/>
      <c r="H9" s="3"/>
      <c r="I9" s="3"/>
      <c r="J9" s="3"/>
      <c r="K9" s="3"/>
      <c r="L9" s="3"/>
    </row>
    <row r="10" spans="1:12" x14ac:dyDescent="0.2">
      <c r="A10" t="s">
        <v>184</v>
      </c>
      <c r="B10">
        <v>1.405</v>
      </c>
      <c r="C10" s="9">
        <v>0.49080000000000001</v>
      </c>
      <c r="D10" s="9">
        <v>0.67922000000000005</v>
      </c>
      <c r="E10" s="3" t="s">
        <v>154</v>
      </c>
      <c r="F10" s="3"/>
      <c r="G10" s="3"/>
      <c r="H10" s="3"/>
      <c r="I10" s="3"/>
      <c r="J10" s="3"/>
      <c r="K10" s="3"/>
      <c r="L10" s="3"/>
    </row>
    <row r="11" spans="1:12" x14ac:dyDescent="0.2"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"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"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"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">
      <c r="D15" s="3"/>
      <c r="E15" s="3"/>
      <c r="F15" s="3"/>
      <c r="G15" s="3"/>
      <c r="H15" s="3"/>
      <c r="I15" s="3"/>
      <c r="J15" s="3"/>
      <c r="K15" s="3"/>
      <c r="L15" s="3"/>
    </row>
    <row r="21" spans="1:12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">
      <c r="C22" s="2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"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"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"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">
      <c r="D26" s="4"/>
      <c r="E26" s="4"/>
      <c r="F26" s="4"/>
      <c r="G26" s="4"/>
      <c r="H26" s="4"/>
      <c r="I26" s="4"/>
      <c r="J26" s="4"/>
      <c r="K26" s="4"/>
      <c r="L26" s="4"/>
    </row>
    <row r="38" spans="1:5" x14ac:dyDescent="0.2">
      <c r="A38" s="12"/>
      <c r="B38" s="12"/>
      <c r="C38" s="39" t="s">
        <v>74</v>
      </c>
      <c r="D38" s="40"/>
      <c r="E38" s="13" t="s">
        <v>90</v>
      </c>
    </row>
    <row r="39" spans="1:5" x14ac:dyDescent="0.2">
      <c r="A39" s="13" t="s">
        <v>2</v>
      </c>
      <c r="B39" s="13" t="s">
        <v>128</v>
      </c>
      <c r="C39" s="13" t="s">
        <v>75</v>
      </c>
      <c r="D39" s="28" t="s">
        <v>76</v>
      </c>
      <c r="E39" s="25" t="s">
        <v>91</v>
      </c>
    </row>
    <row r="40" spans="1:5" x14ac:dyDescent="0.2">
      <c r="A40" s="12" t="s">
        <v>122</v>
      </c>
      <c r="B40" s="26">
        <v>1.407</v>
      </c>
      <c r="C40" s="12">
        <v>0.60399999999999998</v>
      </c>
      <c r="D40" s="29">
        <v>0.74670999999999998</v>
      </c>
      <c r="E40" s="12">
        <v>51.8</v>
      </c>
    </row>
    <row r="41" spans="1:5" x14ac:dyDescent="0.2">
      <c r="A41" s="12" t="s">
        <v>123</v>
      </c>
      <c r="B41" s="26">
        <v>1.3979999999999999</v>
      </c>
      <c r="C41" s="26">
        <v>0.47</v>
      </c>
      <c r="D41" s="29">
        <v>0.66744000000000003</v>
      </c>
      <c r="E41" s="12">
        <v>66.2</v>
      </c>
    </row>
    <row r="42" spans="1:5" x14ac:dyDescent="0.2">
      <c r="A42" s="12" t="s">
        <v>124</v>
      </c>
      <c r="B42" s="26">
        <v>1.4039999999999999</v>
      </c>
      <c r="C42" s="12">
        <v>0.47799999999999998</v>
      </c>
      <c r="D42" s="29">
        <v>0.67229000000000005</v>
      </c>
      <c r="E42" s="12">
        <v>62.1</v>
      </c>
    </row>
    <row r="43" spans="1:5" x14ac:dyDescent="0.2">
      <c r="A43" s="12" t="s">
        <v>125</v>
      </c>
      <c r="B43" s="26">
        <v>1.41</v>
      </c>
      <c r="C43" s="12">
        <v>0.48299999999999998</v>
      </c>
      <c r="D43" s="29">
        <v>0.67386000000000001</v>
      </c>
      <c r="E43" s="12">
        <v>65.099999999999994</v>
      </c>
    </row>
    <row r="44" spans="1:5" x14ac:dyDescent="0.2">
      <c r="A44" s="12" t="s">
        <v>126</v>
      </c>
      <c r="B44" s="26">
        <v>1.429</v>
      </c>
      <c r="C44" s="12">
        <v>0.48799999999999999</v>
      </c>
      <c r="D44" s="29">
        <v>0.68306999999999995</v>
      </c>
      <c r="E44" s="12">
        <v>60.4</v>
      </c>
    </row>
    <row r="45" spans="1:5" x14ac:dyDescent="0.2">
      <c r="A45" s="14" t="s">
        <v>127</v>
      </c>
      <c r="B45" s="27">
        <v>1.431</v>
      </c>
      <c r="C45" s="14">
        <v>0.50700000000000001</v>
      </c>
      <c r="D45" s="30">
        <v>0.69969000000000003</v>
      </c>
      <c r="E45" s="14">
        <v>59.1</v>
      </c>
    </row>
  </sheetData>
  <mergeCells count="2">
    <mergeCell ref="C1:D1"/>
    <mergeCell ref="C38:D3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CA18C-B725-D448-8B10-285BC1A5D220}">
  <dimension ref="A1:L38"/>
  <sheetViews>
    <sheetView workbookViewId="0">
      <selection activeCell="G29" sqref="G29"/>
    </sheetView>
  </sheetViews>
  <sheetFormatPr baseColWidth="10" defaultRowHeight="16" x14ac:dyDescent="0.2"/>
  <cols>
    <col min="1" max="1" width="15.33203125" bestFit="1" customWidth="1"/>
    <col min="2" max="2" width="15.33203125" customWidth="1"/>
    <col min="3" max="3" width="24.6640625" bestFit="1" customWidth="1"/>
    <col min="4" max="4" width="9.33203125" bestFit="1" customWidth="1"/>
    <col min="5" max="5" width="22.6640625" bestFit="1" customWidth="1"/>
    <col min="6" max="6" width="12.6640625" bestFit="1" customWidth="1"/>
  </cols>
  <sheetData>
    <row r="1" spans="1:12" x14ac:dyDescent="0.2">
      <c r="A1" s="1" t="s">
        <v>50</v>
      </c>
      <c r="B1" s="1" t="s">
        <v>79</v>
      </c>
      <c r="C1" s="1" t="s">
        <v>51</v>
      </c>
      <c r="D1" s="1" t="s">
        <v>52</v>
      </c>
      <c r="E1" s="1" t="s">
        <v>77</v>
      </c>
      <c r="F1" s="1" t="s">
        <v>78</v>
      </c>
    </row>
    <row r="2" spans="1:12" x14ac:dyDescent="0.2">
      <c r="A2" t="s">
        <v>86</v>
      </c>
      <c r="B2" s="1" t="s">
        <v>80</v>
      </c>
      <c r="C2" s="5">
        <v>-5.7793578900331246</v>
      </c>
      <c r="D2" s="5">
        <v>-4.3643837470340952</v>
      </c>
      <c r="E2" s="9">
        <v>0.74670999999999998</v>
      </c>
      <c r="F2">
        <v>51.8</v>
      </c>
      <c r="L2" s="2"/>
    </row>
    <row r="3" spans="1:12" x14ac:dyDescent="0.2">
      <c r="A3" t="s">
        <v>87</v>
      </c>
      <c r="B3" s="1" t="s">
        <v>81</v>
      </c>
      <c r="C3" s="5">
        <v>0</v>
      </c>
      <c r="D3" s="5">
        <v>-11.717787494753596</v>
      </c>
      <c r="E3" s="9">
        <v>0.66744000000000003</v>
      </c>
      <c r="F3">
        <v>66.2</v>
      </c>
    </row>
    <row r="4" spans="1:12" x14ac:dyDescent="0.2">
      <c r="A4" t="s">
        <v>88</v>
      </c>
      <c r="B4" s="1" t="s">
        <v>82</v>
      </c>
      <c r="C4" s="5">
        <v>-8.8372092470174604</v>
      </c>
      <c r="D4" s="5">
        <v>-3.7448655148879801</v>
      </c>
      <c r="E4" s="9">
        <v>0.67229000000000005</v>
      </c>
      <c r="F4">
        <v>62.1</v>
      </c>
    </row>
    <row r="5" spans="1:12" x14ac:dyDescent="0.2">
      <c r="A5" t="s">
        <v>53</v>
      </c>
      <c r="B5" s="1" t="s">
        <v>83</v>
      </c>
      <c r="C5" s="5">
        <v>-11.157737529008529</v>
      </c>
      <c r="D5" s="5">
        <v>-0.97190831870542449</v>
      </c>
      <c r="E5" s="9">
        <v>0.67386000000000001</v>
      </c>
      <c r="F5">
        <v>65.099999999999994</v>
      </c>
    </row>
    <row r="6" spans="1:12" x14ac:dyDescent="0.2">
      <c r="A6" t="s">
        <v>54</v>
      </c>
      <c r="B6" s="1" t="s">
        <v>84</v>
      </c>
      <c r="C6" s="5">
        <v>-8.3006890518739134</v>
      </c>
      <c r="D6" s="5">
        <v>3.4033982251468614E-2</v>
      </c>
      <c r="E6" s="9">
        <v>0.68306999999999995</v>
      </c>
      <c r="F6">
        <v>60.4</v>
      </c>
    </row>
    <row r="7" spans="1:12" x14ac:dyDescent="0.2">
      <c r="A7" t="s">
        <v>89</v>
      </c>
      <c r="B7" s="1" t="s">
        <v>85</v>
      </c>
      <c r="C7" s="5">
        <v>-10.179450997981583</v>
      </c>
      <c r="D7" s="5">
        <v>0.63795893703234874</v>
      </c>
      <c r="E7" s="9">
        <v>0.69969000000000003</v>
      </c>
      <c r="F7">
        <v>59.1</v>
      </c>
    </row>
    <row r="33" spans="3:5" x14ac:dyDescent="0.2">
      <c r="C33" s="5"/>
      <c r="D33" s="5"/>
      <c r="E33" s="9"/>
    </row>
    <row r="34" spans="3:5" x14ac:dyDescent="0.2">
      <c r="C34" s="5"/>
      <c r="D34" s="5"/>
      <c r="E34" s="9"/>
    </row>
    <row r="35" spans="3:5" x14ac:dyDescent="0.2">
      <c r="C35" s="5"/>
      <c r="D35" s="5"/>
      <c r="E35" s="9"/>
    </row>
    <row r="36" spans="3:5" x14ac:dyDescent="0.2">
      <c r="C36" s="5"/>
      <c r="D36" s="5"/>
      <c r="E36" s="9"/>
    </row>
    <row r="37" spans="3:5" x14ac:dyDescent="0.2">
      <c r="C37" s="5"/>
      <c r="D37" s="5"/>
      <c r="E37" s="9"/>
    </row>
    <row r="38" spans="3:5" x14ac:dyDescent="0.2">
      <c r="C38" s="5"/>
      <c r="D38" s="5"/>
      <c r="E38" s="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Radical stability</vt:lpstr>
      <vt:lpstr>Giese addition</vt:lpstr>
      <vt:lpstr>Reduction potential</vt:lpstr>
      <vt:lpstr>Spin density</vt:lpstr>
      <vt:lpstr>Figures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Alistair Sterling</dc:creator>
  <cp:lastModifiedBy>Alistair Sterling</cp:lastModifiedBy>
  <dcterms:created xsi:type="dcterms:W3CDTF">2022-03-18T09:57:51Z</dcterms:created>
  <dcterms:modified xsi:type="dcterms:W3CDTF">2022-06-23T17:26:04Z</dcterms:modified>
</cp:coreProperties>
</file>