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osprtechlabs/Dropbox/Direct air capture perspective/Update Febr 2025 - SUBMISSION/03 Calculations_Excel_sheets_25-02-08/"/>
    </mc:Choice>
  </mc:AlternateContent>
  <xr:revisionPtr revIDLastSave="0" documentId="13_ncr:1_{91393985-B920-3C41-BCEF-05475CDBEBE2}" xr6:coauthVersionLast="47" xr6:coauthVersionMax="47" xr10:uidLastSave="{00000000-0000-0000-0000-000000000000}"/>
  <bookViews>
    <workbookView xWindow="4480" yWindow="500" windowWidth="31360" windowHeight="20660" activeTab="4" xr2:uid="{74D00ABC-BD75-F142-8DFA-270D09253E4E}"/>
  </bookViews>
  <sheets>
    <sheet name="ED cost" sheetId="1" state="hidden" r:id="rId1"/>
    <sheet name="boundaries" sheetId="4" state="hidden" r:id="rId2"/>
    <sheet name="Learning curve - A" sheetId="3" state="hidden" r:id="rId3"/>
    <sheet name="Learning curve -B" sheetId="5" state="hidden" r:id="rId4"/>
    <sheet name="Fig. 3 &amp; 5 " sheetId="8" r:id="rId5"/>
    <sheet name="Figure 4" sheetId="13" r:id="rId6"/>
    <sheet name="Fig 2C" sheetId="6" state="hidden" r:id="rId7"/>
    <sheet name="A - scenario QTI" sheetId="2" state="hidden" r:id="rId8"/>
    <sheet name="Figure 6" sheetId="7" r:id="rId9"/>
    <sheet name="BPM_Plotdigitizer_Weber RSC pap" sheetId="10" r:id="rId10"/>
    <sheet name="BPMED_2comp_celldesign_BPM-AEM" sheetId="11" r:id="rId11"/>
    <sheet name="References" sheetId="12" r:id="rId12"/>
    <sheet name="Learning curve -B (2)" sheetId="9" state="hidden" r:id="rId13"/>
  </sheets>
  <definedNames>
    <definedName name="solver_adj" localSheetId="9" hidden="1">'BPM_Plotdigitizer_Weber RSC pap'!#REF!</definedName>
    <definedName name="solver_adj" localSheetId="10" hidden="1">'BPMED_2comp_celldesign_BPM-AEM'!$B$19</definedName>
    <definedName name="solver_cvg" localSheetId="9" hidden="1">0.0001</definedName>
    <definedName name="solver_cvg" localSheetId="10" hidden="1">0.0001</definedName>
    <definedName name="solver_drv" localSheetId="9" hidden="1">1</definedName>
    <definedName name="solver_drv" localSheetId="10" hidden="1">1</definedName>
    <definedName name="solver_eng" localSheetId="9" hidden="1">1</definedName>
    <definedName name="solver_eng" localSheetId="10" hidden="1">1</definedName>
    <definedName name="solver_est" localSheetId="9" hidden="1">1</definedName>
    <definedName name="solver_est" localSheetId="10" hidden="1">1</definedName>
    <definedName name="solver_itr" localSheetId="9" hidden="1">2147483647</definedName>
    <definedName name="solver_itr" localSheetId="10" hidden="1">2147483647</definedName>
    <definedName name="solver_mip" localSheetId="9" hidden="1">2147483647</definedName>
    <definedName name="solver_mip" localSheetId="10" hidden="1">2147483647</definedName>
    <definedName name="solver_mni" localSheetId="9" hidden="1">30</definedName>
    <definedName name="solver_mni" localSheetId="10" hidden="1">30</definedName>
    <definedName name="solver_mrt" localSheetId="9" hidden="1">0.075</definedName>
    <definedName name="solver_mrt" localSheetId="10" hidden="1">0.075</definedName>
    <definedName name="solver_msl" localSheetId="9" hidden="1">2</definedName>
    <definedName name="solver_msl" localSheetId="10" hidden="1">2</definedName>
    <definedName name="solver_neg" localSheetId="9" hidden="1">1</definedName>
    <definedName name="solver_neg" localSheetId="10" hidden="1">1</definedName>
    <definedName name="solver_nod" localSheetId="9" hidden="1">2147483647</definedName>
    <definedName name="solver_nod" localSheetId="10" hidden="1">2147483647</definedName>
    <definedName name="solver_num" localSheetId="9" hidden="1">0</definedName>
    <definedName name="solver_num" localSheetId="10" hidden="1">0</definedName>
    <definedName name="solver_nwt" localSheetId="9" hidden="1">1</definedName>
    <definedName name="solver_nwt" localSheetId="10" hidden="1">1</definedName>
    <definedName name="solver_opt" localSheetId="9" hidden="1">'BPM_Plotdigitizer_Weber RSC pap'!#REF!</definedName>
    <definedName name="solver_opt" localSheetId="10" hidden="1">'BPMED_2comp_celldesign_BPM-AEM'!#REF!</definedName>
    <definedName name="solver_pre" localSheetId="9" hidden="1">0.000001</definedName>
    <definedName name="solver_pre" localSheetId="10" hidden="1">0.000001</definedName>
    <definedName name="solver_rbv" localSheetId="9" hidden="1">1</definedName>
    <definedName name="solver_rbv" localSheetId="10" hidden="1">1</definedName>
    <definedName name="solver_rlx" localSheetId="9" hidden="1">2</definedName>
    <definedName name="solver_rlx" localSheetId="10" hidden="1">2</definedName>
    <definedName name="solver_rsd" localSheetId="9" hidden="1">0</definedName>
    <definedName name="solver_rsd" localSheetId="10" hidden="1">0</definedName>
    <definedName name="solver_scl" localSheetId="9" hidden="1">1</definedName>
    <definedName name="solver_scl" localSheetId="10" hidden="1">1</definedName>
    <definedName name="solver_sho" localSheetId="9" hidden="1">2</definedName>
    <definedName name="solver_sho" localSheetId="10" hidden="1">2</definedName>
    <definedName name="solver_ssz" localSheetId="9" hidden="1">100</definedName>
    <definedName name="solver_ssz" localSheetId="10" hidden="1">100</definedName>
    <definedName name="solver_tim" localSheetId="9" hidden="1">2147483647</definedName>
    <definedName name="solver_tim" localSheetId="10" hidden="1">2147483647</definedName>
    <definedName name="solver_tol" localSheetId="9" hidden="1">0.01</definedName>
    <definedName name="solver_tol" localSheetId="10" hidden="1">0.01</definedName>
    <definedName name="solver_typ" localSheetId="9" hidden="1">3</definedName>
    <definedName name="solver_typ" localSheetId="10" hidden="1">3</definedName>
    <definedName name="solver_val" localSheetId="9" hidden="1">0</definedName>
    <definedName name="solver_val" localSheetId="10" hidden="1">0</definedName>
    <definedName name="solver_ver" localSheetId="9" hidden="1">3</definedName>
    <definedName name="solver_ver" localSheetId="1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1" l="1"/>
  <c r="D48" i="11"/>
  <c r="E21" i="13"/>
  <c r="E22" i="13" s="1"/>
  <c r="F21" i="13"/>
  <c r="F22" i="13" s="1"/>
  <c r="D21" i="13"/>
  <c r="D22" i="13" s="1"/>
  <c r="E17" i="13"/>
  <c r="D17" i="13"/>
  <c r="B31" i="11"/>
  <c r="B32" i="11" s="1"/>
  <c r="B33" i="11" s="1"/>
  <c r="B51" i="11"/>
  <c r="B41" i="11"/>
  <c r="B42" i="11" s="1"/>
  <c r="B43" i="11" s="1"/>
  <c r="B46" i="11" s="1"/>
  <c r="B36" i="11"/>
  <c r="B37" i="11" s="1"/>
  <c r="B38" i="11" s="1"/>
  <c r="B26" i="11"/>
  <c r="B27" i="11" s="1"/>
  <c r="B28" i="11" s="1"/>
  <c r="B23" i="11"/>
  <c r="B22" i="11"/>
  <c r="B48" i="11" s="1"/>
  <c r="B8" i="11"/>
  <c r="B45" i="11" l="1"/>
  <c r="B50" i="11" s="1"/>
  <c r="B53" i="11" s="1"/>
  <c r="B67" i="11" l="1"/>
  <c r="C67" i="11" s="1"/>
  <c r="C88" i="11" s="1"/>
  <c r="B61" i="11"/>
  <c r="C61" i="11" s="1"/>
  <c r="C82" i="11" s="1"/>
  <c r="B66" i="11"/>
  <c r="C66" i="11" s="1"/>
  <c r="C87" i="11" s="1"/>
  <c r="B60" i="11"/>
  <c r="C60" i="11" s="1"/>
  <c r="C81" i="11" s="1"/>
  <c r="B65" i="11"/>
  <c r="C65" i="11" s="1"/>
  <c r="C86" i="11" s="1"/>
  <c r="B59" i="11"/>
  <c r="B64" i="11"/>
  <c r="C64" i="11" s="1"/>
  <c r="C85" i="11" s="1"/>
  <c r="B63" i="11"/>
  <c r="C63" i="11" s="1"/>
  <c r="C84" i="11" s="1"/>
  <c r="B68" i="11"/>
  <c r="C68" i="11" s="1"/>
  <c r="C89" i="11" s="1"/>
  <c r="B62" i="11"/>
  <c r="C62" i="11" s="1"/>
  <c r="C83" i="11" s="1"/>
  <c r="B49" i="11"/>
  <c r="D49" i="11" s="1"/>
  <c r="E63" i="11" s="1"/>
  <c r="C59" i="11" l="1"/>
  <c r="C80" i="11" s="1"/>
  <c r="B15" i="8"/>
  <c r="F15" i="8" s="1"/>
  <c r="B16" i="8"/>
  <c r="F16" i="8" s="1"/>
  <c r="B17" i="8"/>
  <c r="F17" i="8" s="1"/>
  <c r="B18" i="8"/>
  <c r="F18" i="8" s="1"/>
  <c r="B19" i="8"/>
  <c r="D19" i="8" s="1"/>
  <c r="B20" i="8"/>
  <c r="D20" i="8" s="1"/>
  <c r="B21" i="8"/>
  <c r="D21" i="8" s="1"/>
  <c r="B13" i="8"/>
  <c r="F13" i="8" s="1"/>
  <c r="B14" i="8"/>
  <c r="F14" i="8" s="1"/>
  <c r="E38" i="7"/>
  <c r="E5" i="7"/>
  <c r="G5" i="7" s="1"/>
  <c r="M42" i="7"/>
  <c r="H42" i="7"/>
  <c r="J42" i="7" s="1"/>
  <c r="K42" i="7" s="1"/>
  <c r="M41" i="7"/>
  <c r="H41" i="7"/>
  <c r="J41" i="7" s="1"/>
  <c r="K41" i="7" s="1"/>
  <c r="L42" i="7" s="1"/>
  <c r="M40" i="7"/>
  <c r="H40" i="7"/>
  <c r="J40" i="7" s="1"/>
  <c r="K40" i="7" s="1"/>
  <c r="L41" i="7" s="1"/>
  <c r="M39" i="7"/>
  <c r="H39" i="7"/>
  <c r="J39" i="7" s="1"/>
  <c r="K39" i="7" s="1"/>
  <c r="L40" i="7" s="1"/>
  <c r="B39" i="7"/>
  <c r="B40" i="7" s="1"/>
  <c r="H38" i="7"/>
  <c r="J38" i="7" s="1"/>
  <c r="K38" i="7" s="1"/>
  <c r="L39" i="7" s="1"/>
  <c r="H23" i="7"/>
  <c r="J23" i="7" s="1"/>
  <c r="K23" i="7" s="1"/>
  <c r="L24" i="7" s="1"/>
  <c r="E23" i="7"/>
  <c r="G23" i="7" s="1"/>
  <c r="M27" i="7"/>
  <c r="M26" i="7"/>
  <c r="M25" i="7"/>
  <c r="M24" i="7"/>
  <c r="H26" i="7"/>
  <c r="J26" i="7" s="1"/>
  <c r="K26" i="7" s="1"/>
  <c r="L27" i="7" s="1"/>
  <c r="H7" i="7"/>
  <c r="J7" i="7" s="1"/>
  <c r="K7" i="7" s="1"/>
  <c r="M7" i="7" s="1"/>
  <c r="B24" i="7"/>
  <c r="B25" i="7" s="1"/>
  <c r="E25" i="7" s="1"/>
  <c r="B6" i="7"/>
  <c r="B7" i="7" s="1"/>
  <c r="E7" i="7" s="1"/>
  <c r="H24" i="7"/>
  <c r="J24" i="7" s="1"/>
  <c r="K24" i="7" s="1"/>
  <c r="L25" i="7" s="1"/>
  <c r="H25" i="7"/>
  <c r="J25" i="7" s="1"/>
  <c r="K25" i="7" s="1"/>
  <c r="L26" i="7" s="1"/>
  <c r="H27" i="7"/>
  <c r="J27" i="7" s="1"/>
  <c r="K27" i="7" s="1"/>
  <c r="P5" i="9"/>
  <c r="H5" i="7"/>
  <c r="J5" i="7" s="1"/>
  <c r="J9" i="9"/>
  <c r="L9" i="9" s="1"/>
  <c r="E9" i="9"/>
  <c r="C9" i="9"/>
  <c r="J8" i="9"/>
  <c r="L8" i="9" s="1"/>
  <c r="C8" i="9"/>
  <c r="E8" i="9" s="1"/>
  <c r="J7" i="9"/>
  <c r="L7" i="9" s="1"/>
  <c r="C7" i="9"/>
  <c r="E7" i="9" s="1"/>
  <c r="J6" i="9"/>
  <c r="L6" i="9" s="1"/>
  <c r="C6" i="9"/>
  <c r="E6" i="9" s="1"/>
  <c r="O5" i="9"/>
  <c r="J5" i="9"/>
  <c r="L5" i="9" s="1"/>
  <c r="C5" i="9"/>
  <c r="E5" i="9" s="1"/>
  <c r="D8" i="6"/>
  <c r="F10" i="8"/>
  <c r="C8" i="6"/>
  <c r="C10" i="6"/>
  <c r="H6" i="7"/>
  <c r="J6" i="7" s="1"/>
  <c r="K6" i="7" s="1"/>
  <c r="M6" i="7" s="1"/>
  <c r="H8" i="7"/>
  <c r="J8" i="7" s="1"/>
  <c r="K8" i="7" s="1"/>
  <c r="L9" i="7" s="1"/>
  <c r="H9" i="7"/>
  <c r="J9" i="7" s="1"/>
  <c r="K9" i="7" s="1"/>
  <c r="M9" i="7" s="1"/>
  <c r="C3" i="6"/>
  <c r="B14" i="6"/>
  <c r="C14" i="6" s="1"/>
  <c r="B13" i="6"/>
  <c r="C13" i="6" s="1"/>
  <c r="B12" i="6"/>
  <c r="C12" i="6" s="1"/>
  <c r="B11" i="6"/>
  <c r="C11" i="6" s="1"/>
  <c r="B10" i="6"/>
  <c r="B9" i="6"/>
  <c r="C9" i="6" s="1"/>
  <c r="B8" i="6"/>
  <c r="B7" i="6"/>
  <c r="P11" i="4"/>
  <c r="P12" i="4"/>
  <c r="P13" i="4"/>
  <c r="P14" i="4"/>
  <c r="P8" i="4"/>
  <c r="P9" i="4"/>
  <c r="P10" i="4"/>
  <c r="K10" i="4"/>
  <c r="K11" i="4" s="1"/>
  <c r="K9" i="4"/>
  <c r="I9" i="4" s="1"/>
  <c r="I10" i="4"/>
  <c r="I8" i="4"/>
  <c r="E11" i="4"/>
  <c r="G11" i="4" s="1"/>
  <c r="H11" i="4" s="1"/>
  <c r="E13" i="4"/>
  <c r="G13" i="4" s="1"/>
  <c r="H13" i="4" s="1"/>
  <c r="B8" i="4"/>
  <c r="E8" i="4" s="1"/>
  <c r="G8" i="4" s="1"/>
  <c r="H8" i="4" s="1"/>
  <c r="C5" i="5"/>
  <c r="D8" i="4"/>
  <c r="B9" i="4"/>
  <c r="D9" i="4" s="1"/>
  <c r="O5" i="5"/>
  <c r="C6" i="5"/>
  <c r="E6" i="5" s="1"/>
  <c r="F6" i="5" s="1"/>
  <c r="C7" i="5"/>
  <c r="E7" i="5" s="1"/>
  <c r="F7" i="5" s="1"/>
  <c r="C8" i="5"/>
  <c r="E8" i="5" s="1"/>
  <c r="F8" i="5" s="1"/>
  <c r="C9" i="5"/>
  <c r="E9" i="5" s="1"/>
  <c r="F9" i="5" s="1"/>
  <c r="E5" i="5"/>
  <c r="F5" i="5" s="1"/>
  <c r="C5" i="3"/>
  <c r="O5" i="3"/>
  <c r="C6" i="3"/>
  <c r="C7" i="3"/>
  <c r="E7" i="3" s="1"/>
  <c r="F7" i="3" s="1"/>
  <c r="C8" i="3"/>
  <c r="C9" i="3"/>
  <c r="E5" i="3"/>
  <c r="F5" i="3" s="1"/>
  <c r="D12" i="1"/>
  <c r="D35" i="1"/>
  <c r="I35" i="1" s="1"/>
  <c r="V35" i="1" s="1"/>
  <c r="Y35" i="1" s="1"/>
  <c r="AC35" i="1" s="1"/>
  <c r="B11" i="4"/>
  <c r="D11" i="4" s="1"/>
  <c r="J9" i="5"/>
  <c r="L9" i="5" s="1"/>
  <c r="P9" i="5" s="1"/>
  <c r="Q9" i="5" s="1"/>
  <c r="R9" i="5" s="1"/>
  <c r="J8" i="5"/>
  <c r="L8" i="5" s="1"/>
  <c r="N9" i="5" s="1"/>
  <c r="O9" i="5" s="1"/>
  <c r="J7" i="5"/>
  <c r="L7" i="5" s="1"/>
  <c r="P7" i="5" s="1"/>
  <c r="J6" i="5"/>
  <c r="L6" i="5" s="1"/>
  <c r="N7" i="5" s="1"/>
  <c r="O7" i="5" s="1"/>
  <c r="J5" i="5"/>
  <c r="L5" i="5" s="1"/>
  <c r="P5" i="5" s="1"/>
  <c r="J5" i="3"/>
  <c r="B10" i="4"/>
  <c r="D10" i="4" s="1"/>
  <c r="B12" i="4"/>
  <c r="D12" i="4" s="1"/>
  <c r="B13" i="4"/>
  <c r="D13" i="4" s="1"/>
  <c r="B14" i="4"/>
  <c r="D14" i="4" s="1"/>
  <c r="B7" i="4"/>
  <c r="D7" i="4" s="1"/>
  <c r="J9" i="3"/>
  <c r="L9" i="3" s="1"/>
  <c r="M9" i="3" s="1"/>
  <c r="J8" i="3"/>
  <c r="L8" i="3" s="1"/>
  <c r="N9" i="3" s="1"/>
  <c r="O9" i="3" s="1"/>
  <c r="J6" i="3"/>
  <c r="L6" i="3" s="1"/>
  <c r="N7" i="3" s="1"/>
  <c r="O7" i="3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17" i="2"/>
  <c r="E17" i="2" s="1"/>
  <c r="B18" i="2"/>
  <c r="E18" i="2" s="1"/>
  <c r="B19" i="2"/>
  <c r="E19" i="2" s="1"/>
  <c r="B20" i="2"/>
  <c r="E20" i="2" s="1"/>
  <c r="B21" i="2"/>
  <c r="E21" i="2" s="1"/>
  <c r="B22" i="2"/>
  <c r="E22" i="2" s="1"/>
  <c r="B23" i="2"/>
  <c r="E23" i="2" s="1"/>
  <c r="B24" i="2"/>
  <c r="G24" i="2" s="1"/>
  <c r="I24" i="2" s="1"/>
  <c r="K32" i="2" s="1"/>
  <c r="B25" i="2"/>
  <c r="G25" i="2" s="1"/>
  <c r="I25" i="2" s="1"/>
  <c r="K33" i="2" s="1"/>
  <c r="B26" i="2"/>
  <c r="G26" i="2" s="1"/>
  <c r="I26" i="2" s="1"/>
  <c r="K34" i="2" s="1"/>
  <c r="B27" i="2"/>
  <c r="E27" i="2" s="1"/>
  <c r="B28" i="2"/>
  <c r="E28" i="2" s="1"/>
  <c r="B29" i="2"/>
  <c r="E29" i="2" s="1"/>
  <c r="B30" i="2"/>
  <c r="E30" i="2" s="1"/>
  <c r="B31" i="2"/>
  <c r="E31" i="2" s="1"/>
  <c r="B32" i="2"/>
  <c r="E32" i="2" s="1"/>
  <c r="B33" i="2"/>
  <c r="E33" i="2" s="1"/>
  <c r="B34" i="2"/>
  <c r="E34" i="2" s="1"/>
  <c r="B35" i="2"/>
  <c r="E35" i="2" s="1"/>
  <c r="B36" i="2"/>
  <c r="E36" i="2" s="1"/>
  <c r="B37" i="2"/>
  <c r="E37" i="2" s="1"/>
  <c r="B38" i="2"/>
  <c r="E38" i="2" s="1"/>
  <c r="B39" i="2"/>
  <c r="E39" i="2" s="1"/>
  <c r="B40" i="2"/>
  <c r="E40" i="2" s="1"/>
  <c r="B41" i="2"/>
  <c r="E41" i="2" s="1"/>
  <c r="B42" i="2"/>
  <c r="E42" i="2" s="1"/>
  <c r="B43" i="2"/>
  <c r="E43" i="2" s="1"/>
  <c r="B44" i="2"/>
  <c r="E44" i="2" s="1"/>
  <c r="B45" i="2"/>
  <c r="E45" i="2" s="1"/>
  <c r="I8" i="1"/>
  <c r="M8" i="1" s="1"/>
  <c r="R14" i="1"/>
  <c r="R25" i="1"/>
  <c r="R37" i="1"/>
  <c r="D23" i="1"/>
  <c r="I23" i="1" s="1"/>
  <c r="V23" i="1" s="1"/>
  <c r="Y23" i="1" s="1"/>
  <c r="AC23" i="1" s="1"/>
  <c r="I12" i="1"/>
  <c r="V12" i="1" s="1"/>
  <c r="Y12" i="1" s="1"/>
  <c r="AC12" i="1" s="1"/>
  <c r="I31" i="1"/>
  <c r="M31" i="1" s="1"/>
  <c r="M5" i="1"/>
  <c r="P5" i="1" s="1"/>
  <c r="I19" i="1"/>
  <c r="M19" i="1" s="1"/>
  <c r="G38" i="7" l="1"/>
  <c r="M38" i="7"/>
  <c r="N38" i="7"/>
  <c r="E40" i="7"/>
  <c r="B41" i="7"/>
  <c r="B42" i="7" s="1"/>
  <c r="E42" i="7" s="1"/>
  <c r="E39" i="7"/>
  <c r="M8" i="7"/>
  <c r="E24" i="7"/>
  <c r="G24" i="7" s="1"/>
  <c r="N24" i="7" s="1"/>
  <c r="E6" i="7"/>
  <c r="G6" i="7" s="1"/>
  <c r="D18" i="8"/>
  <c r="D14" i="8"/>
  <c r="G14" i="8"/>
  <c r="G15" i="8"/>
  <c r="I15" i="8" s="1"/>
  <c r="L8" i="7"/>
  <c r="L7" i="7"/>
  <c r="K5" i="7"/>
  <c r="G13" i="8"/>
  <c r="J13" i="8" s="1"/>
  <c r="D15" i="8"/>
  <c r="D17" i="8"/>
  <c r="D16" i="8"/>
  <c r="B26" i="7"/>
  <c r="E26" i="7" s="1"/>
  <c r="G26" i="7" s="1"/>
  <c r="N26" i="7" s="1"/>
  <c r="G25" i="7"/>
  <c r="N25" i="7" s="1"/>
  <c r="B8" i="7"/>
  <c r="B9" i="7" s="1"/>
  <c r="G7" i="7"/>
  <c r="D13" i="8"/>
  <c r="M23" i="7"/>
  <c r="N23" i="7" s="1"/>
  <c r="F19" i="8"/>
  <c r="G19" i="8" s="1"/>
  <c r="F21" i="8"/>
  <c r="G21" i="8" s="1"/>
  <c r="K21" i="8" s="1"/>
  <c r="F20" i="8"/>
  <c r="G20" i="8" s="1"/>
  <c r="M5" i="9"/>
  <c r="N6" i="9"/>
  <c r="O6" i="9" s="1"/>
  <c r="N8" i="9"/>
  <c r="O8" i="9" s="1"/>
  <c r="P7" i="9"/>
  <c r="M7" i="9"/>
  <c r="F5" i="9"/>
  <c r="Q5" i="9"/>
  <c r="R5" i="9" s="1"/>
  <c r="F6" i="9"/>
  <c r="P6" i="9"/>
  <c r="Q6" i="9" s="1"/>
  <c r="R6" i="9" s="1"/>
  <c r="N7" i="9"/>
  <c r="O7" i="9" s="1"/>
  <c r="M6" i="9"/>
  <c r="F7" i="9"/>
  <c r="F8" i="9"/>
  <c r="M8" i="9"/>
  <c r="P8" i="9"/>
  <c r="Q8" i="9" s="1"/>
  <c r="R8" i="9" s="1"/>
  <c r="N9" i="9"/>
  <c r="O9" i="9" s="1"/>
  <c r="M9" i="9"/>
  <c r="P9" i="9"/>
  <c r="Q9" i="9" s="1"/>
  <c r="R9" i="9" s="1"/>
  <c r="F9" i="9"/>
  <c r="G17" i="8"/>
  <c r="G16" i="8"/>
  <c r="G18" i="8"/>
  <c r="D12" i="6"/>
  <c r="F12" i="6" s="1"/>
  <c r="D13" i="6"/>
  <c r="F13" i="6" s="1"/>
  <c r="D11" i="6"/>
  <c r="H11" i="6" s="1"/>
  <c r="G13" i="6"/>
  <c r="D10" i="6"/>
  <c r="H10" i="6" s="1"/>
  <c r="D9" i="6"/>
  <c r="H9" i="6" s="1"/>
  <c r="D14" i="6"/>
  <c r="H14" i="6" s="1"/>
  <c r="F8" i="6"/>
  <c r="I11" i="4"/>
  <c r="K12" i="4"/>
  <c r="M11" i="4"/>
  <c r="M8" i="4"/>
  <c r="E12" i="4"/>
  <c r="G12" i="4" s="1"/>
  <c r="H12" i="4" s="1"/>
  <c r="E9" i="4"/>
  <c r="G9" i="4" s="1"/>
  <c r="H9" i="4" s="1"/>
  <c r="M9" i="4" s="1"/>
  <c r="E10" i="4"/>
  <c r="G10" i="4" s="1"/>
  <c r="H10" i="4" s="1"/>
  <c r="M10" i="4" s="1"/>
  <c r="E14" i="4"/>
  <c r="G14" i="4" s="1"/>
  <c r="H14" i="4" s="1"/>
  <c r="Q5" i="5"/>
  <c r="R5" i="5" s="1"/>
  <c r="M5" i="5"/>
  <c r="P6" i="5"/>
  <c r="Q7" i="5"/>
  <c r="R7" i="5" s="1"/>
  <c r="P8" i="5"/>
  <c r="M7" i="5"/>
  <c r="M9" i="5"/>
  <c r="M8" i="5"/>
  <c r="M6" i="5"/>
  <c r="M8" i="3"/>
  <c r="M6" i="3"/>
  <c r="L5" i="3"/>
  <c r="P5" i="3" s="1"/>
  <c r="Q5" i="3" s="1"/>
  <c r="N6" i="5"/>
  <c r="O6" i="5" s="1"/>
  <c r="N8" i="5"/>
  <c r="E9" i="3"/>
  <c r="F9" i="3" s="1"/>
  <c r="E8" i="3"/>
  <c r="F8" i="3" s="1"/>
  <c r="J7" i="3"/>
  <c r="E6" i="3"/>
  <c r="G32" i="2"/>
  <c r="G8" i="2"/>
  <c r="I8" i="2" s="1"/>
  <c r="K16" i="2" s="1"/>
  <c r="E25" i="2"/>
  <c r="E26" i="2"/>
  <c r="E24" i="2"/>
  <c r="G29" i="2"/>
  <c r="I29" i="2" s="1"/>
  <c r="K37" i="2" s="1"/>
  <c r="G28" i="2"/>
  <c r="I28" i="2" s="1"/>
  <c r="K36" i="2" s="1"/>
  <c r="G37" i="2"/>
  <c r="I37" i="2" s="1"/>
  <c r="K45" i="2" s="1"/>
  <c r="G14" i="2"/>
  <c r="I14" i="2" s="1"/>
  <c r="K22" i="2" s="1"/>
  <c r="G16" i="2"/>
  <c r="I16" i="2" s="1"/>
  <c r="K24" i="2" s="1"/>
  <c r="G17" i="2"/>
  <c r="I17" i="2" s="1"/>
  <c r="K25" i="2" s="1"/>
  <c r="G40" i="2"/>
  <c r="I40" i="2" s="1"/>
  <c r="G41" i="2"/>
  <c r="I41" i="2" s="1"/>
  <c r="G38" i="2"/>
  <c r="I38" i="2" s="1"/>
  <c r="B47" i="2"/>
  <c r="G39" i="2"/>
  <c r="I39" i="2" s="1"/>
  <c r="G15" i="2"/>
  <c r="I15" i="2" s="1"/>
  <c r="K23" i="2" s="1"/>
  <c r="G35" i="2"/>
  <c r="I35" i="2" s="1"/>
  <c r="K43" i="2" s="1"/>
  <c r="G11" i="2"/>
  <c r="I11" i="2" s="1"/>
  <c r="G34" i="2"/>
  <c r="I34" i="2" s="1"/>
  <c r="G10" i="2"/>
  <c r="I10" i="2" s="1"/>
  <c r="G33" i="2"/>
  <c r="I33" i="2" s="1"/>
  <c r="G9" i="2"/>
  <c r="I9" i="2" s="1"/>
  <c r="G44" i="2"/>
  <c r="I44" i="2" s="1"/>
  <c r="I32" i="2"/>
  <c r="G43" i="2"/>
  <c r="I43" i="2" s="1"/>
  <c r="G31" i="2"/>
  <c r="I31" i="2" s="1"/>
  <c r="K39" i="2" s="1"/>
  <c r="G19" i="2"/>
  <c r="I19" i="2" s="1"/>
  <c r="K27" i="2" s="1"/>
  <c r="G7" i="2"/>
  <c r="I7" i="2" s="1"/>
  <c r="K15" i="2" s="1"/>
  <c r="G27" i="2"/>
  <c r="I27" i="2" s="1"/>
  <c r="K35" i="2" s="1"/>
  <c r="G13" i="2"/>
  <c r="I13" i="2" s="1"/>
  <c r="K21" i="2" s="1"/>
  <c r="G36" i="2"/>
  <c r="I36" i="2" s="1"/>
  <c r="K44" i="2" s="1"/>
  <c r="G12" i="2"/>
  <c r="I12" i="2" s="1"/>
  <c r="G23" i="2"/>
  <c r="I23" i="2" s="1"/>
  <c r="K31" i="2" s="1"/>
  <c r="G5" i="2"/>
  <c r="G22" i="2"/>
  <c r="I22" i="2" s="1"/>
  <c r="G45" i="2"/>
  <c r="I45" i="2" s="1"/>
  <c r="G21" i="2"/>
  <c r="I21" i="2" s="1"/>
  <c r="G20" i="2"/>
  <c r="I20" i="2" s="1"/>
  <c r="K28" i="2" s="1"/>
  <c r="G42" i="2"/>
  <c r="I42" i="2" s="1"/>
  <c r="G30" i="2"/>
  <c r="I30" i="2" s="1"/>
  <c r="K38" i="2" s="1"/>
  <c r="G18" i="2"/>
  <c r="I18" i="2" s="1"/>
  <c r="K26" i="2" s="1"/>
  <c r="G6" i="2"/>
  <c r="I6" i="2" s="1"/>
  <c r="K14" i="2" s="1"/>
  <c r="P19" i="1"/>
  <c r="V19" i="1" s="1"/>
  <c r="P31" i="1"/>
  <c r="V31" i="1" s="1"/>
  <c r="P8" i="1"/>
  <c r="V8" i="1" s="1"/>
  <c r="K14" i="8" l="1"/>
  <c r="I14" i="8"/>
  <c r="J14" i="8"/>
  <c r="G39" i="7"/>
  <c r="N39" i="7" s="1"/>
  <c r="G42" i="7"/>
  <c r="G40" i="7"/>
  <c r="N40" i="7" s="1"/>
  <c r="E41" i="7"/>
  <c r="N42" i="7"/>
  <c r="B27" i="7"/>
  <c r="E27" i="7" s="1"/>
  <c r="G27" i="7" s="1"/>
  <c r="N27" i="7" s="1"/>
  <c r="N31" i="7" s="1"/>
  <c r="E9" i="7"/>
  <c r="G9" i="7" s="1"/>
  <c r="N9" i="7" s="1"/>
  <c r="E8" i="7"/>
  <c r="G8" i="7" s="1"/>
  <c r="N8" i="7" s="1"/>
  <c r="J15" i="8"/>
  <c r="K13" i="8"/>
  <c r="I13" i="8"/>
  <c r="N7" i="7"/>
  <c r="M5" i="7"/>
  <c r="N5" i="7" s="1"/>
  <c r="L6" i="7"/>
  <c r="N6" i="7" s="1"/>
  <c r="I21" i="8"/>
  <c r="J21" i="8"/>
  <c r="K15" i="8"/>
  <c r="Q7" i="9"/>
  <c r="R7" i="9" s="1"/>
  <c r="R11" i="9" s="1"/>
  <c r="I18" i="8"/>
  <c r="J18" i="8"/>
  <c r="K18" i="8"/>
  <c r="J19" i="8"/>
  <c r="K19" i="8"/>
  <c r="I19" i="8"/>
  <c r="I17" i="8"/>
  <c r="K17" i="8"/>
  <c r="J17" i="8"/>
  <c r="K16" i="8"/>
  <c r="J16" i="8"/>
  <c r="I16" i="8"/>
  <c r="J20" i="8"/>
  <c r="I20" i="8"/>
  <c r="K20" i="8"/>
  <c r="H13" i="6"/>
  <c r="G12" i="6"/>
  <c r="H12" i="6"/>
  <c r="H8" i="6"/>
  <c r="L39" i="2"/>
  <c r="F14" i="6"/>
  <c r="G14" i="6"/>
  <c r="F9" i="6"/>
  <c r="G9" i="6"/>
  <c r="F10" i="6"/>
  <c r="G10" i="6"/>
  <c r="F11" i="6"/>
  <c r="G11" i="6"/>
  <c r="K13" i="4"/>
  <c r="I12" i="4"/>
  <c r="M12" i="4" s="1"/>
  <c r="Q6" i="5"/>
  <c r="R6" i="5" s="1"/>
  <c r="O8" i="5"/>
  <c r="Q8" i="5"/>
  <c r="R8" i="5" s="1"/>
  <c r="N6" i="3"/>
  <c r="O6" i="3" s="1"/>
  <c r="M5" i="3"/>
  <c r="P6" i="3"/>
  <c r="Q6" i="3" s="1"/>
  <c r="F6" i="3"/>
  <c r="L7" i="3"/>
  <c r="P9" i="3"/>
  <c r="Q9" i="3" s="1"/>
  <c r="L43" i="2"/>
  <c r="L15" i="2"/>
  <c r="L6" i="2"/>
  <c r="L31" i="2"/>
  <c r="L7" i="2"/>
  <c r="L8" i="2"/>
  <c r="L44" i="2"/>
  <c r="L38" i="2"/>
  <c r="I5" i="2"/>
  <c r="L5" i="2" s="1"/>
  <c r="K19" i="2"/>
  <c r="L19" i="2" s="1"/>
  <c r="L11" i="2"/>
  <c r="L26" i="2"/>
  <c r="L23" i="2"/>
  <c r="L25" i="2"/>
  <c r="L35" i="2"/>
  <c r="K20" i="2"/>
  <c r="L20" i="2" s="1"/>
  <c r="L12" i="2"/>
  <c r="L10" i="2"/>
  <c r="K18" i="2"/>
  <c r="L18" i="2" s="1"/>
  <c r="L27" i="2"/>
  <c r="L28" i="2"/>
  <c r="K29" i="2"/>
  <c r="L29" i="2" s="1"/>
  <c r="L21" i="2"/>
  <c r="L45" i="2"/>
  <c r="L36" i="2"/>
  <c r="K17" i="2"/>
  <c r="L17" i="2" s="1"/>
  <c r="L9" i="2"/>
  <c r="K41" i="2"/>
  <c r="L41" i="2" s="1"/>
  <c r="L33" i="2"/>
  <c r="K42" i="2"/>
  <c r="L42" i="2" s="1"/>
  <c r="L34" i="2"/>
  <c r="L24" i="2"/>
  <c r="L16" i="2"/>
  <c r="K30" i="2"/>
  <c r="L30" i="2" s="1"/>
  <c r="L22" i="2"/>
  <c r="K40" i="2"/>
  <c r="L40" i="2" s="1"/>
  <c r="L32" i="2"/>
  <c r="L37" i="2"/>
  <c r="L14" i="2"/>
  <c r="AC19" i="1"/>
  <c r="AC31" i="1"/>
  <c r="AC8" i="1"/>
  <c r="G41" i="7" l="1"/>
  <c r="N41" i="7" s="1"/>
  <c r="N13" i="7"/>
  <c r="G8" i="6"/>
  <c r="K14" i="4"/>
  <c r="I14" i="4" s="1"/>
  <c r="M14" i="4" s="1"/>
  <c r="I13" i="4"/>
  <c r="M13" i="4" s="1"/>
  <c r="R11" i="5"/>
  <c r="N8" i="3"/>
  <c r="M7" i="3"/>
  <c r="P7" i="3"/>
  <c r="Q7" i="3" s="1"/>
  <c r="K13" i="2"/>
  <c r="L13" i="2" s="1"/>
  <c r="AC38" i="1"/>
  <c r="AC39" i="1" s="1"/>
  <c r="AC36" i="1"/>
  <c r="AC26" i="1"/>
  <c r="AC24" i="1"/>
  <c r="AC15" i="1"/>
  <c r="AF25" i="1" s="1"/>
  <c r="AC13" i="1"/>
  <c r="AC27" i="1"/>
  <c r="AC16" i="1"/>
  <c r="P8" i="3" l="1"/>
  <c r="Q8" i="3" s="1"/>
  <c r="Q11" i="3" s="1"/>
  <c r="O8" i="3"/>
  <c r="AF27" i="1"/>
</calcChain>
</file>

<file path=xl/sharedStrings.xml><?xml version="1.0" encoding="utf-8"?>
<sst xmlns="http://schemas.openxmlformats.org/spreadsheetml/2006/main" count="580" uniqueCount="261">
  <si>
    <t>PROCESS INTENSITY</t>
  </si>
  <si>
    <t>A/m2</t>
  </si>
  <si>
    <t xml:space="preserve">Applied Current Density </t>
  </si>
  <si>
    <t>t CO2 /m2 (cross section membrane)</t>
  </si>
  <si>
    <t>kWh/tCO2</t>
  </si>
  <si>
    <t>DEPLOYED CAPACITY FOR CDR</t>
  </si>
  <si>
    <t>Mt CO2/ year</t>
  </si>
  <si>
    <t>m2 cross section membr.</t>
  </si>
  <si>
    <t>kWh/year</t>
  </si>
  <si>
    <t>1 ED stack</t>
  </si>
  <si>
    <t>cells</t>
  </si>
  <si>
    <t>m2/cell</t>
  </si>
  <si>
    <t>m2/ Edstack</t>
  </si>
  <si>
    <t>ED stacks</t>
  </si>
  <si>
    <t>EUR/m2</t>
  </si>
  <si>
    <t>EUR/ED</t>
  </si>
  <si>
    <t>EUR</t>
  </si>
  <si>
    <t>ED cost (CAPEX1)</t>
  </si>
  <si>
    <t>ED maintenance (CAPEX2)</t>
  </si>
  <si>
    <t>% of initial CAPEX</t>
  </si>
  <si>
    <t>years frequency of change</t>
  </si>
  <si>
    <t>Nr. of years operation</t>
  </si>
  <si>
    <t>years</t>
  </si>
  <si>
    <t>Average price of electricity</t>
  </si>
  <si>
    <t>EUR/kWh</t>
  </si>
  <si>
    <t>kWh</t>
  </si>
  <si>
    <t>OPEX total</t>
  </si>
  <si>
    <t>TOTAL CAPEX</t>
  </si>
  <si>
    <t>Mio EUR</t>
  </si>
  <si>
    <t>Total electr. Consumption</t>
  </si>
  <si>
    <t>TOTAL OPEX</t>
  </si>
  <si>
    <t>OVERALL TOTAL</t>
  </si>
  <si>
    <t>A)</t>
  </si>
  <si>
    <t>B)</t>
  </si>
  <si>
    <t>C)</t>
  </si>
  <si>
    <t>Modeled or experimentally measured values</t>
  </si>
  <si>
    <t>Throughput</t>
  </si>
  <si>
    <t>Energy consumption</t>
  </si>
  <si>
    <t>%</t>
  </si>
  <si>
    <t>Cell Voltage</t>
  </si>
  <si>
    <t>V</t>
  </si>
  <si>
    <t>% of initial CAPEX for bubble release</t>
  </si>
  <si>
    <t>total % Capex more</t>
  </si>
  <si>
    <t>EUR/tCO2</t>
  </si>
  <si>
    <t>Ratio</t>
  </si>
  <si>
    <t xml:space="preserve">how does Aeration unit integrate with costs? </t>
  </si>
  <si>
    <t>Plantlife / years</t>
  </si>
  <si>
    <t>Price electricity</t>
  </si>
  <si>
    <t>USD/kWh</t>
  </si>
  <si>
    <t>OPEX</t>
  </si>
  <si>
    <t>OPEX A</t>
  </si>
  <si>
    <t>Total Capacity</t>
  </si>
  <si>
    <t>Mt/y</t>
  </si>
  <si>
    <t>Bn EUR</t>
  </si>
  <si>
    <t>CAPEX excl. Maintenance</t>
  </si>
  <si>
    <t>Need for ED m2</t>
  </si>
  <si>
    <t>tCO2/m2</t>
  </si>
  <si>
    <t>Performance A</t>
  </si>
  <si>
    <t>A</t>
  </si>
  <si>
    <t>EUR/m2 ED</t>
  </si>
  <si>
    <t>MAINTENANCE A</t>
  </si>
  <si>
    <t>Electro. Consumption A</t>
  </si>
  <si>
    <t>Maintenance frequency</t>
  </si>
  <si>
    <t>Gt/y</t>
  </si>
  <si>
    <t>Bn USD A</t>
  </si>
  <si>
    <t>Bn USD</t>
  </si>
  <si>
    <t>Total cost</t>
  </si>
  <si>
    <t>each 4 years 60% capex</t>
  </si>
  <si>
    <t>installed capacities</t>
  </si>
  <si>
    <t>Current Density Applied</t>
  </si>
  <si>
    <t xml:space="preserve">CO2 output at max 100% FE </t>
  </si>
  <si>
    <t xml:space="preserve">A/m2 </t>
  </si>
  <si>
    <t>Lowest</t>
  </si>
  <si>
    <t>highest</t>
  </si>
  <si>
    <t>Learning curve</t>
  </si>
  <si>
    <t>Aux Eng cost</t>
  </si>
  <si>
    <t>tCO2/m2 (%permselect)</t>
  </si>
  <si>
    <t>Cell voltage</t>
  </si>
  <si>
    <t>Levelized cost per ton CO2</t>
  </si>
  <si>
    <t>LCCC (EUR/tCO2)</t>
  </si>
  <si>
    <t>Mainteancnce LLCC</t>
  </si>
  <si>
    <t>CAPEX</t>
  </si>
  <si>
    <t>EUR / tCO2</t>
  </si>
  <si>
    <t>Membrane Maintenance</t>
  </si>
  <si>
    <t>Levelized cost CO2 capture</t>
  </si>
  <si>
    <t>% Permselectivity</t>
  </si>
  <si>
    <t>Permselectivity</t>
  </si>
  <si>
    <t>Molarity in vol</t>
  </si>
  <si>
    <t>tCO2/m2(area) per year</t>
  </si>
  <si>
    <t>tCO2/y</t>
  </si>
  <si>
    <t>M</t>
  </si>
  <si>
    <t>1200 L/h (20L/min)</t>
  </si>
  <si>
    <t>Agreed 5x conc.</t>
  </si>
  <si>
    <t>2 M precipitation of KHCO3 at 25</t>
  </si>
  <si>
    <t>M/m2</t>
  </si>
  <si>
    <t>mol/s /m2</t>
  </si>
  <si>
    <t>mol/L /m2</t>
  </si>
  <si>
    <t>m2 ED stack</t>
  </si>
  <si>
    <t xml:space="preserve">Depletion </t>
  </si>
  <si>
    <t>C</t>
  </si>
  <si>
    <t>Caluclated molarity kHCO3 needed per m2 to avoid depletion</t>
  </si>
  <si>
    <t>ED stack size / m2</t>
  </si>
  <si>
    <t>Max.  ED stack size to avoid KHCO3 precipitation</t>
  </si>
  <si>
    <t>Min KHCO3 conc. To feed to ED</t>
  </si>
  <si>
    <t>Current efficiency</t>
  </si>
  <si>
    <t>L/h</t>
  </si>
  <si>
    <t>L/s</t>
  </si>
  <si>
    <t>mol/L /m2 = M/m2</t>
  </si>
  <si>
    <t>Removed conc. Of bicarbonate</t>
  </si>
  <si>
    <t xml:space="preserve">Depletion conc. </t>
  </si>
  <si>
    <t>m2</t>
  </si>
  <si>
    <t>Liquid flow rate</t>
  </si>
  <si>
    <t>CO2 membrane transfer rate</t>
  </si>
  <si>
    <t xml:space="preserve">Starting conc. </t>
  </si>
  <si>
    <t>Starting conc.</t>
  </si>
  <si>
    <t>Applied current density</t>
  </si>
  <si>
    <t>Capacity</t>
  </si>
  <si>
    <t>tCO2/year</t>
  </si>
  <si>
    <t xml:space="preserve"> m2 ED stack</t>
  </si>
  <si>
    <t xml:space="preserve">Steady state conc. </t>
  </si>
  <si>
    <t xml:space="preserve"> EUR/tCO2</t>
  </si>
  <si>
    <t>Need for ED (1000 t CO2/y capacity)</t>
  </si>
  <si>
    <t>Price ED stack</t>
  </si>
  <si>
    <t>EUR/m2 total area</t>
  </si>
  <si>
    <t>Auxiliarry Engineering Cost (Bubble management, curent collectors)</t>
  </si>
  <si>
    <t>times replace in 5 years</t>
  </si>
  <si>
    <t>tCO2/m2(cross section) per year</t>
  </si>
  <si>
    <t xml:space="preserve">Regular maintenance cost </t>
  </si>
  <si>
    <t>mA/cm2 (cross section)</t>
  </si>
  <si>
    <t xml:space="preserve">AEM EL </t>
  </si>
  <si>
    <t>Auxiliarry Engineering Cost (Bubble management, curent collectors, Hydrogen)</t>
  </si>
  <si>
    <t>Intermediate cost</t>
  </si>
  <si>
    <t xml:space="preserve">Highest CO2 output at max 100% FE </t>
  </si>
  <si>
    <t>Corresponding Cell Voltage</t>
  </si>
  <si>
    <t>LEGEND</t>
  </si>
  <si>
    <t>measured, benchmarked values or constants</t>
  </si>
  <si>
    <t>calculated output values</t>
  </si>
  <si>
    <t>field to type in (input values)</t>
  </si>
  <si>
    <t>M (mol/dm3)</t>
  </si>
  <si>
    <t>headers</t>
  </si>
  <si>
    <t xml:space="preserve">Data used in </t>
  </si>
  <si>
    <t>Figure 6 A</t>
  </si>
  <si>
    <t>Figure 6 B</t>
  </si>
  <si>
    <t>X axis</t>
  </si>
  <si>
    <t>Y axis</t>
  </si>
  <si>
    <t>Bipolar Membrane/AEM Repeat Unit Calculation - Estimating Voltage (Power) for N Repeat Units, small stack (inputs and output concentrations known)</t>
  </si>
  <si>
    <t>Constants</t>
  </si>
  <si>
    <t>R</t>
  </si>
  <si>
    <t>J/mol/K</t>
  </si>
  <si>
    <t>universal gas constant</t>
  </si>
  <si>
    <t>kB</t>
  </si>
  <si>
    <t>J/K</t>
  </si>
  <si>
    <t>Boltzmann constant</t>
  </si>
  <si>
    <t>N_A</t>
  </si>
  <si>
    <t>#/mol</t>
  </si>
  <si>
    <t>Avogadro's number</t>
  </si>
  <si>
    <t>eCoul</t>
  </si>
  <si>
    <t>Coloumb's constant</t>
  </si>
  <si>
    <t>F_const</t>
  </si>
  <si>
    <t>C/mol</t>
  </si>
  <si>
    <t>Faraday's constant</t>
  </si>
  <si>
    <t>Stack Parameters</t>
  </si>
  <si>
    <t>t_BPM</t>
  </si>
  <si>
    <t>m</t>
  </si>
  <si>
    <t>t_AEM</t>
  </si>
  <si>
    <t>thickness AEM</t>
  </si>
  <si>
    <t>t_fluidChannel</t>
  </si>
  <si>
    <t>thickness fluid channel</t>
  </si>
  <si>
    <t>L_fluidChannel</t>
  </si>
  <si>
    <t>length fluid_channel</t>
  </si>
  <si>
    <t>N_repeat units</t>
  </si>
  <si>
    <t>[-]</t>
  </si>
  <si>
    <t># of repeating units in stack</t>
  </si>
  <si>
    <t>area_coverage_spacers</t>
  </si>
  <si>
    <t>fraction of area occupied by spacers</t>
  </si>
  <si>
    <t>W_stack</t>
  </si>
  <si>
    <t>width of stack</t>
  </si>
  <si>
    <t>Area Resistance BPM</t>
  </si>
  <si>
    <t>Ohm*cm2</t>
  </si>
  <si>
    <t>Areal Resistance AEM</t>
  </si>
  <si>
    <t>est. of area resistance (this is nominal in NaCl, it will be higher with OH- generated)</t>
  </si>
  <si>
    <t>Resistance BPM (withoutn H2O splitting)</t>
  </si>
  <si>
    <t>Ohm</t>
  </si>
  <si>
    <t>Resistance AEM</t>
  </si>
  <si>
    <t>Inlet - Acid Compartment</t>
  </si>
  <si>
    <t>mS/cm</t>
  </si>
  <si>
    <t>S/m</t>
  </si>
  <si>
    <t>Conductance - Acid In</t>
  </si>
  <si>
    <t>S</t>
  </si>
  <si>
    <t>Resistance - Acid In</t>
  </si>
  <si>
    <t>Outlet - Acid Compartment</t>
  </si>
  <si>
    <t>Conductance - Acid Out</t>
  </si>
  <si>
    <t>Resistance - Acid Out</t>
  </si>
  <si>
    <t>Inlet - Base Compartment</t>
  </si>
  <si>
    <t>Conductance - Base In</t>
  </si>
  <si>
    <t>Resistance - Base In</t>
  </si>
  <si>
    <t>Outlet - Base Compartment</t>
  </si>
  <si>
    <t>Conductance - Base Out</t>
  </si>
  <si>
    <t>Resistance - Base Out</t>
  </si>
  <si>
    <t>R_acid_avg</t>
  </si>
  <si>
    <t>use geometric mean to estimate "avg" resistance in a compartment</t>
  </si>
  <si>
    <t>R_base_avg</t>
  </si>
  <si>
    <t>Voltage at current</t>
  </si>
  <si>
    <t>mA/cm2</t>
  </si>
  <si>
    <t>R_Membr</t>
  </si>
  <si>
    <t>R_Solv</t>
  </si>
  <si>
    <t>R_repeat</t>
  </si>
  <si>
    <t>R_repeat = R_BPM+R_AEM+R_base+R_acid</t>
  </si>
  <si>
    <t xml:space="preserve">R_CEMs </t>
  </si>
  <si>
    <t xml:space="preserve"> end protecting CEMs near electrodes + electrode rinse = ~negligible resistance</t>
  </si>
  <si>
    <t>N*R_repeat</t>
  </si>
  <si>
    <t>1 M KHCO3</t>
  </si>
  <si>
    <t>Applied current (A/m2)</t>
  </si>
  <si>
    <t>Voltage overall</t>
  </si>
  <si>
    <t>Ohmic voltages</t>
  </si>
  <si>
    <t>x</t>
  </si>
  <si>
    <t xml:space="preserve"> y</t>
  </si>
  <si>
    <t>Final Cell Voltages, V</t>
  </si>
  <si>
    <t>data use in our perspective</t>
  </si>
  <si>
    <t>thickness BPM, 	Fumatech GmbH. Technical Data Sheet-Fumasep ® FBM.</t>
  </si>
  <si>
    <t>Fumatech GmbH. Technical Data Sheet-Fumasep ® FBM.</t>
  </si>
  <si>
    <t>Bui, J. C. et al. Analysis of bipolar membranes for electrochemical CO2 capture from air and oceanwater. Energy Environ Sci 16, 5076–5095 (2023).</t>
  </si>
  <si>
    <t>https://pubs.rsc.org/en/content/articlelanding/2023/ee/d3ee01606d</t>
  </si>
  <si>
    <t>FIGURE 3A</t>
  </si>
  <si>
    <t>FIGURE 3B</t>
  </si>
  <si>
    <t>FIGURE 5</t>
  </si>
  <si>
    <r>
      <t>Figure 6: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Total breakdown of BPM-ED costs and the learning curves under various applied current densities: (a) 20 mA/cm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, and (b) 50 mA/cm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 xml:space="preserve">; Performance assumptions: </t>
    </r>
    <r>
      <rPr>
        <b/>
        <i/>
        <sz val="9"/>
        <color rgb="FF000000"/>
        <rFont val="Times New Roman"/>
        <family val="1"/>
      </rPr>
      <t>Permselectivity</t>
    </r>
    <r>
      <rPr>
        <sz val="9"/>
        <color rgb="FF000000"/>
        <rFont val="Times New Roman"/>
        <family val="1"/>
      </rPr>
      <t xml:space="preserve"> of the AEM for carbonic species improves by 5% every 5 years, starting at 70%, ending at 90 %; </t>
    </r>
    <r>
      <rPr>
        <b/>
        <sz val="9"/>
        <color rgb="FF000000"/>
        <rFont val="Times New Roman"/>
        <family val="1"/>
      </rPr>
      <t>Cell Voltage</t>
    </r>
    <r>
      <rPr>
        <sz val="9"/>
        <color rgb="FF000000"/>
        <rFont val="Times New Roman"/>
        <family val="1"/>
      </rPr>
      <t xml:space="preserve"> improves by 0.05 V every 5 years, starting at 1.4 V for scenario 20 mA/cm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, and starting at 1.9 V, for the scenario 50 mA/cm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 xml:space="preserve">; </t>
    </r>
    <r>
      <rPr>
        <b/>
        <sz val="9"/>
        <color rgb="FF000000"/>
        <rFont val="Times New Roman"/>
        <family val="1"/>
      </rPr>
      <t>Electricity Cost</t>
    </r>
    <r>
      <rPr>
        <sz val="9"/>
        <color rgb="FF000000"/>
        <rFont val="Times New Roman"/>
        <family val="1"/>
      </rPr>
      <t xml:space="preserve"> assumes the use of renewable electricity with </t>
    </r>
    <r>
      <rPr>
        <i/>
        <sz val="9"/>
        <color rgb="FF000000"/>
        <rFont val="Times New Roman"/>
        <family val="1"/>
      </rPr>
      <t>price</t>
    </r>
    <r>
      <rPr>
        <sz val="9"/>
        <color rgb="FF000000"/>
        <rFont val="Times New Roman"/>
        <family val="1"/>
      </rPr>
      <t xml:space="preserve"> dropping by 50 €/MWh every 5 years, starting at 200 €/MWh and finishing at 10 €/MWh; </t>
    </r>
    <r>
      <rPr>
        <b/>
        <sz val="9"/>
        <color rgb="FF000000"/>
        <rFont val="Times New Roman"/>
        <family val="1"/>
      </rPr>
      <t>ED Stack Cost</t>
    </r>
    <r>
      <rPr>
        <sz val="9"/>
        <color rgb="FF000000"/>
        <rFont val="Times New Roman"/>
        <family val="1"/>
      </rPr>
      <t xml:space="preserve"> include all capital expenditures including cost of membranes and other accessories such as piping, regulators, manifolds, electronics and sensors</t>
    </r>
    <r>
      <rPr>
        <i/>
        <sz val="9"/>
        <color rgb="FF000000"/>
        <rFont val="Times New Roman"/>
        <family val="1"/>
      </rPr>
      <t xml:space="preserve">; here we assume the total cost of ED stack normalized per membrane area (in </t>
    </r>
    <r>
      <rPr>
        <sz val="9"/>
        <color rgb="FF000000"/>
        <rFont val="Times New Roman"/>
        <family val="1"/>
      </rPr>
      <t>€</t>
    </r>
    <r>
      <rPr>
        <i/>
        <sz val="9"/>
        <color rgb="FF000000"/>
        <rFont val="Times New Roman"/>
        <family val="1"/>
      </rPr>
      <t>/m</t>
    </r>
    <r>
      <rPr>
        <i/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)</t>
    </r>
    <r>
      <rPr>
        <i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decreases every 5 years by 50 €/m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, starting at 500 €/m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.</t>
    </r>
    <r>
      <rPr>
        <sz val="8"/>
        <color rgb="FF000000"/>
        <rFont val="Times New Roman"/>
        <family val="1"/>
      </rPr>
      <t xml:space="preserve">  </t>
    </r>
    <r>
      <rPr>
        <b/>
        <sz val="9"/>
        <color theme="1"/>
        <rFont val="Times New Roman"/>
        <family val="1"/>
      </rPr>
      <t>Auxiliary Engineering</t>
    </r>
    <r>
      <rPr>
        <sz val="9"/>
        <color theme="1"/>
        <rFont val="Times New Roman"/>
        <family val="1"/>
      </rPr>
      <t xml:space="preserve"> refers to additional engineering hardware such as current collectors or high-pressure solutions to manage bubble removal; </t>
    </r>
    <r>
      <rPr>
        <b/>
        <sz val="9"/>
        <color theme="1"/>
        <rFont val="Times New Roman"/>
        <family val="1"/>
      </rPr>
      <t>Membrane Maintenance</t>
    </r>
    <r>
      <rPr>
        <sz val="9"/>
        <color theme="1"/>
        <rFont val="Times New Roman"/>
        <family val="1"/>
      </rPr>
      <t xml:space="preserve"> assumes regular replacement of all membranes due to degradation/fouling, at the end of their lifetime. BPM/AEM part of the cost is assumed to be 70% of initial ED Stack Cost; Frequency of change of membranes is assumed 2 times in 5 years when operating at 20 mA/cm</t>
    </r>
    <r>
      <rPr>
        <vertAlign val="superscript"/>
        <sz val="9"/>
        <color theme="1"/>
        <rFont val="Times New Roman"/>
        <family val="1"/>
      </rPr>
      <t xml:space="preserve">2 </t>
    </r>
    <r>
      <rPr>
        <sz val="9"/>
        <color theme="1"/>
        <rFont val="Times New Roman"/>
        <family val="1"/>
      </rPr>
      <t>and 4 times in 5 years when operating at 50 mA/cm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; Operating at 50 mA/cm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 includes </t>
    </r>
    <r>
      <rPr>
        <i/>
        <sz val="9"/>
        <color theme="1"/>
        <rFont val="Times New Roman"/>
        <family val="1"/>
      </rPr>
      <t>Auxiliary Engineering</t>
    </r>
    <r>
      <rPr>
        <sz val="9"/>
        <color theme="1"/>
        <rFont val="Times New Roman"/>
        <family val="1"/>
      </rPr>
      <t xml:space="preserve"> solutions inducing additional increase in 25% of initial ED Stack Cost.</t>
    </r>
  </si>
  <si>
    <t>Tricker, A. W. et al. Design and operating principles for high-performing anion exchange membrane water electrolyzers. J Power Sources 567, (2023).</t>
  </si>
  <si>
    <t>20 mA/cm2</t>
  </si>
  <si>
    <t>50 mA/cm2</t>
  </si>
  <si>
    <t>Thermodynamic</t>
  </si>
  <si>
    <t>BPM 20</t>
  </si>
  <si>
    <t xml:space="preserve">BPM 50 </t>
  </si>
  <si>
    <t>AEM EL 50</t>
  </si>
  <si>
    <t>Nernstian</t>
  </si>
  <si>
    <t>Kinetic /gas evolution</t>
  </si>
  <si>
    <t>* 50 cells in BPM ED</t>
  </si>
  <si>
    <t>Ohmic loss</t>
  </si>
  <si>
    <t>Solvent loss</t>
  </si>
  <si>
    <t xml:space="preserve">area resistance when water splitting </t>
  </si>
  <si>
    <t>Kinetic sum (HER / OER)</t>
  </si>
  <si>
    <t xml:space="preserve">* Fig 1 (d) Tricker et al. </t>
  </si>
  <si>
    <t>Sum</t>
  </si>
  <si>
    <t>Kinetic at BPM per cell</t>
  </si>
  <si>
    <t>interim sum</t>
  </si>
  <si>
    <t>Comment</t>
  </si>
  <si>
    <t>Donnan potential</t>
  </si>
  <si>
    <t>*59 mV shift assumed for each unit pH difference (BPM20 delta pH 4, BPM50 delta pH 5, AEM EL50 delta pH 0)</t>
  </si>
  <si>
    <t>*59 mV shift assumed for delta pH 14</t>
  </si>
  <si>
    <t>refers to gas evolving electrodes , MEA in case of AEM-EL and end electrodes in case of BPM-ED</t>
  </si>
  <si>
    <t>(cell and solvent ohmic voltage contributions)</t>
  </si>
  <si>
    <t>Solvent ohmic losses</t>
  </si>
  <si>
    <t>*calculated in sheet BPMED_2comp_celldesign_BPM-AEM</t>
  </si>
  <si>
    <t>Vincent, I., Lee, E. C. &amp; Kim, H. M. Comprehensive impedance investigation of low-cost anion exchange membrane electrolysis for large-scale hydrogen production. Sci Rep 11, (2021).</t>
  </si>
  <si>
    <t xml:space="preserve">*Bui et al </t>
  </si>
  <si>
    <t>* Donnan potential (arbitrary values)</t>
  </si>
  <si>
    <t>Figure 8 (a)   from - Bui, J. C. et al. Analysis of bipolar membranes for electrochemical CO2 capture from air and oceanwater. Energy Environ Sci 16, 5076–5095 (2023).</t>
  </si>
  <si>
    <t>Modeled BPM membrane voltages (kinetic, ohmic, thermodynamic)</t>
  </si>
  <si>
    <t>PLOT DIGITIZER</t>
  </si>
  <si>
    <t>Figure 3: (a) Best case scenario for energy consumption of BPM-ED based CO2 recovery (assuming 100% AEM permselectivity towards carbonic ion species), based on modeled cell voltages (assuming a cell design in 2-compartment configuration with repeating BPM/AEM sets of membranes in 1 M KHCO3, more details available in the ICL repository ); data used for modeling of cell voltages adapted from Weber and coworker´s study(Fig. 8 a)50; Cell voltage here is approximated by summing the BPM voltage data50 and the additional ohmic losses based on commercially available BPM92, AEM possessing lowest resistances and aqueous solvent containing 1 M KHCO3 with assumed conductivity of 100 mS/cm. (b) Maximum possible CO2 recovery rates at various permselectivity values for carbonic species (assuming a monovalent HCO3- ion as charge career across the AEM, z=1), sidenote: for divalent carbonate ion transfer, the regeneration rates should be divided by 2. One year of operation includes 8000 operating hours.</t>
  </si>
  <si>
    <t>Figure 5:  Depletion of ion concentration (Dissolved Inorganic Carbon, DIC) during steady-state CO2 recovery in an ED stack with an industrially relevant liquid flow rate of 5 m3/h, at varied applied current densities; dotted red line represents minimum recommended operating KHCO3 concentration to secure low ohmic resistances across the liquid streams during ED operation; region below 0.2 mol/L DIC represents a depletion region. Three solid lines - blue, purple and green represent steady-state DIC levels in ED stacks with (BPM, AEM) membrane areas of 100 m2, 50 m2 and 20 m2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</si>
</sst>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0"/>
      <name val="Helvetica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Helvetica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.5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vertAlign val="superscript"/>
      <sz val="9"/>
      <color rgb="FF000000"/>
      <name val="Times New Roman"/>
      <family val="1"/>
    </font>
    <font>
      <sz val="8"/>
      <color rgb="FF000000"/>
      <name val="Times New Roman"/>
      <family val="1"/>
    </font>
    <font>
      <i/>
      <sz val="9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3" borderId="0" xfId="0" applyFill="1"/>
    <xf numFmtId="11" fontId="0" fillId="0" borderId="0" xfId="0" applyNumberFormat="1"/>
    <xf numFmtId="11" fontId="0" fillId="4" borderId="0" xfId="0" applyNumberFormat="1" applyFill="1"/>
    <xf numFmtId="0" fontId="0" fillId="4" borderId="0" xfId="0" applyFill="1"/>
    <xf numFmtId="11" fontId="0" fillId="5" borderId="0" xfId="0" applyNumberFormat="1" applyFill="1"/>
    <xf numFmtId="0" fontId="0" fillId="5" borderId="0" xfId="0" applyFill="1"/>
    <xf numFmtId="0" fontId="0" fillId="6" borderId="0" xfId="0" applyFill="1"/>
    <xf numFmtId="1" fontId="0" fillId="6" borderId="0" xfId="0" applyNumberFormat="1" applyFill="1"/>
    <xf numFmtId="0" fontId="0" fillId="7" borderId="0" xfId="0" applyFill="1"/>
    <xf numFmtId="11" fontId="0" fillId="7" borderId="0" xfId="0" applyNumberFormat="1" applyFill="1"/>
    <xf numFmtId="0" fontId="2" fillId="8" borderId="1" xfId="0" applyFont="1" applyFill="1" applyBorder="1"/>
    <xf numFmtId="1" fontId="2" fillId="8" borderId="2" xfId="0" applyNumberFormat="1" applyFont="1" applyFill="1" applyBorder="1"/>
    <xf numFmtId="0" fontId="2" fillId="8" borderId="3" xfId="0" applyFont="1" applyFill="1" applyBorder="1"/>
    <xf numFmtId="0" fontId="2" fillId="0" borderId="0" xfId="0" applyFont="1"/>
    <xf numFmtId="0" fontId="0" fillId="9" borderId="0" xfId="0" applyFill="1"/>
    <xf numFmtId="0" fontId="2" fillId="11" borderId="0" xfId="0" applyFont="1" applyFill="1"/>
    <xf numFmtId="164" fontId="2" fillId="11" borderId="0" xfId="0" applyNumberFormat="1" applyFont="1" applyFill="1"/>
    <xf numFmtId="164" fontId="0" fillId="0" borderId="0" xfId="0" applyNumberFormat="1"/>
    <xf numFmtId="164" fontId="0" fillId="9" borderId="0" xfId="0" applyNumberFormat="1" applyFill="1"/>
    <xf numFmtId="164" fontId="2" fillId="12" borderId="0" xfId="0" applyNumberFormat="1" applyFont="1" applyFill="1"/>
    <xf numFmtId="0" fontId="2" fillId="12" borderId="0" xfId="0" applyFont="1" applyFill="1"/>
    <xf numFmtId="0" fontId="0" fillId="12" borderId="0" xfId="0" applyFill="1"/>
    <xf numFmtId="0" fontId="1" fillId="3" borderId="0" xfId="0" applyFont="1" applyFill="1"/>
    <xf numFmtId="0" fontId="3" fillId="0" borderId="0" xfId="0" applyFont="1"/>
    <xf numFmtId="0" fontId="0" fillId="13" borderId="0" xfId="0" applyFill="1"/>
    <xf numFmtId="0" fontId="0" fillId="10" borderId="0" xfId="0" applyFill="1"/>
    <xf numFmtId="164" fontId="0" fillId="10" borderId="0" xfId="0" applyNumberFormat="1" applyFill="1"/>
    <xf numFmtId="0" fontId="0" fillId="14" borderId="0" xfId="0" applyFill="1"/>
    <xf numFmtId="0" fontId="0" fillId="15" borderId="0" xfId="0" applyFill="1"/>
    <xf numFmtId="0" fontId="2" fillId="0" borderId="4" xfId="0" applyFont="1" applyBorder="1"/>
    <xf numFmtId="0" fontId="2" fillId="2" borderId="4" xfId="0" applyFont="1" applyFill="1" applyBorder="1"/>
    <xf numFmtId="0" fontId="2" fillId="15" borderId="4" xfId="0" applyFont="1" applyFill="1" applyBorder="1"/>
    <xf numFmtId="0" fontId="2" fillId="4" borderId="4" xfId="0" applyFont="1" applyFill="1" applyBorder="1"/>
    <xf numFmtId="0" fontId="0" fillId="16" borderId="0" xfId="0" applyFill="1"/>
    <xf numFmtId="0" fontId="2" fillId="16" borderId="4" xfId="0" applyFont="1" applyFill="1" applyBorder="1"/>
    <xf numFmtId="0" fontId="0" fillId="8" borderId="0" xfId="0" applyFill="1"/>
    <xf numFmtId="0" fontId="2" fillId="8" borderId="4" xfId="0" applyFont="1" applyFill="1" applyBorder="1"/>
    <xf numFmtId="0" fontId="0" fillId="17" borderId="0" xfId="0" applyFill="1"/>
    <xf numFmtId="0" fontId="2" fillId="17" borderId="4" xfId="0" applyFont="1" applyFill="1" applyBorder="1"/>
    <xf numFmtId="0" fontId="3" fillId="2" borderId="0" xfId="0" applyFont="1" applyFill="1"/>
    <xf numFmtId="0" fontId="0" fillId="11" borderId="0" xfId="0" applyFill="1"/>
    <xf numFmtId="0" fontId="0" fillId="18" borderId="0" xfId="0" applyFill="1"/>
    <xf numFmtId="0" fontId="2" fillId="10" borderId="4" xfId="0" applyFont="1" applyFill="1" applyBorder="1"/>
    <xf numFmtId="0" fontId="0" fillId="19" borderId="0" xfId="0" applyFill="1"/>
    <xf numFmtId="0" fontId="2" fillId="19" borderId="4" xfId="0" applyFont="1" applyFill="1" applyBorder="1"/>
    <xf numFmtId="0" fontId="0" fillId="20" borderId="0" xfId="0" applyFill="1"/>
    <xf numFmtId="0" fontId="2" fillId="20" borderId="4" xfId="0" applyFont="1" applyFill="1" applyBorder="1"/>
    <xf numFmtId="0" fontId="2" fillId="6" borderId="4" xfId="0" applyFont="1" applyFill="1" applyBorder="1"/>
    <xf numFmtId="0" fontId="3" fillId="15" borderId="0" xfId="0" applyFont="1" applyFill="1"/>
    <xf numFmtId="0" fontId="2" fillId="15" borderId="0" xfId="0" applyFont="1" applyFill="1"/>
    <xf numFmtId="0" fontId="4" fillId="13" borderId="0" xfId="0" applyFont="1" applyFill="1"/>
    <xf numFmtId="0" fontId="5" fillId="0" borderId="0" xfId="0" applyFont="1"/>
    <xf numFmtId="0" fontId="6" fillId="0" borderId="0" xfId="0" applyFont="1"/>
    <xf numFmtId="0" fontId="5" fillId="13" borderId="0" xfId="0" applyFont="1" applyFill="1"/>
    <xf numFmtId="0" fontId="0" fillId="21" borderId="0" xfId="0" applyFill="1"/>
    <xf numFmtId="0" fontId="2" fillId="21" borderId="0" xfId="0" applyFont="1" applyFill="1"/>
    <xf numFmtId="0" fontId="2" fillId="16" borderId="0" xfId="0" applyFont="1" applyFill="1"/>
    <xf numFmtId="0" fontId="0" fillId="22" borderId="0" xfId="0" applyFill="1"/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3" fillId="16" borderId="0" xfId="0" applyFont="1" applyFill="1"/>
    <xf numFmtId="0" fontId="1" fillId="0" borderId="0" xfId="0" applyFont="1"/>
    <xf numFmtId="0" fontId="1" fillId="22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wrapText="1"/>
    </xf>
    <xf numFmtId="9" fontId="0" fillId="2" borderId="0" xfId="0" applyNumberFormat="1" applyFill="1"/>
    <xf numFmtId="0" fontId="0" fillId="3" borderId="0" xfId="0" applyFill="1" applyAlignment="1">
      <alignment wrapText="1"/>
    </xf>
    <xf numFmtId="0" fontId="3" fillId="17" borderId="0" xfId="0" applyFont="1" applyFill="1"/>
    <xf numFmtId="0" fontId="0" fillId="23" borderId="0" xfId="0" applyFill="1"/>
    <xf numFmtId="9" fontId="3" fillId="2" borderId="0" xfId="0" applyNumberFormat="1" applyFont="1" applyFill="1"/>
    <xf numFmtId="0" fontId="4" fillId="2" borderId="0" xfId="0" applyFont="1" applyFill="1"/>
    <xf numFmtId="0" fontId="2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2" fillId="24" borderId="0" xfId="0" applyFont="1" applyFill="1" applyAlignment="1">
      <alignment horizontal="center" vertical="center" wrapText="1"/>
    </xf>
    <xf numFmtId="0" fontId="0" fillId="24" borderId="0" xfId="0" applyFill="1"/>
    <xf numFmtId="0" fontId="2" fillId="24" borderId="0" xfId="0" applyFont="1" applyFill="1"/>
    <xf numFmtId="0" fontId="0" fillId="2" borderId="0" xfId="0" applyFill="1" applyAlignment="1">
      <alignment horizontal="center"/>
    </xf>
    <xf numFmtId="0" fontId="0" fillId="25" borderId="0" xfId="0" applyFill="1"/>
    <xf numFmtId="0" fontId="3" fillId="24" borderId="0" xfId="0" applyFont="1" applyFill="1" applyAlignment="1">
      <alignment horizontal="center" wrapText="1"/>
    </xf>
    <xf numFmtId="0" fontId="0" fillId="24" borderId="0" xfId="0" applyFill="1" applyAlignment="1">
      <alignment wrapText="1"/>
    </xf>
    <xf numFmtId="0" fontId="3" fillId="24" borderId="0" xfId="0" applyFont="1" applyFill="1" applyAlignment="1">
      <alignment wrapText="1"/>
    </xf>
    <xf numFmtId="0" fontId="8" fillId="0" borderId="0" xfId="1" applyFont="1"/>
    <xf numFmtId="0" fontId="8" fillId="0" borderId="0" xfId="1" quotePrefix="1" applyFont="1"/>
    <xf numFmtId="0" fontId="9" fillId="0" borderId="0" xfId="1" applyFont="1"/>
    <xf numFmtId="0" fontId="8" fillId="19" borderId="0" xfId="1" applyFont="1" applyFill="1"/>
    <xf numFmtId="0" fontId="10" fillId="26" borderId="0" xfId="1" applyFont="1" applyFill="1"/>
    <xf numFmtId="11" fontId="8" fillId="19" borderId="0" xfId="1" applyNumberFormat="1" applyFont="1" applyFill="1"/>
    <xf numFmtId="0" fontId="8" fillId="27" borderId="0" xfId="1" applyFont="1" applyFill="1"/>
    <xf numFmtId="11" fontId="8" fillId="2" borderId="0" xfId="1" applyNumberFormat="1" applyFont="1" applyFill="1"/>
    <xf numFmtId="0" fontId="8" fillId="2" borderId="0" xfId="1" applyFont="1" applyFill="1"/>
    <xf numFmtId="0" fontId="12" fillId="19" borderId="0" xfId="2" applyFont="1" applyFill="1"/>
    <xf numFmtId="11" fontId="8" fillId="13" borderId="0" xfId="1" applyNumberFormat="1" applyFont="1" applyFill="1"/>
    <xf numFmtId="11" fontId="8" fillId="0" borderId="0" xfId="1" applyNumberFormat="1" applyFont="1"/>
    <xf numFmtId="0" fontId="8" fillId="13" borderId="0" xfId="1" applyFont="1" applyFill="1"/>
    <xf numFmtId="11" fontId="8" fillId="20" borderId="0" xfId="1" applyNumberFormat="1" applyFont="1" applyFill="1"/>
    <xf numFmtId="0" fontId="8" fillId="20" borderId="0" xfId="1" applyFont="1" applyFill="1"/>
    <xf numFmtId="11" fontId="8" fillId="4" borderId="0" xfId="1" applyNumberFormat="1" applyFont="1" applyFill="1"/>
    <xf numFmtId="0" fontId="8" fillId="4" borderId="0" xfId="1" applyFont="1" applyFill="1"/>
    <xf numFmtId="11" fontId="8" fillId="15" borderId="0" xfId="1" applyNumberFormat="1" applyFont="1" applyFill="1"/>
    <xf numFmtId="0" fontId="8" fillId="15" borderId="0" xfId="1" applyFont="1" applyFill="1"/>
    <xf numFmtId="0" fontId="8" fillId="24" borderId="0" xfId="1" applyFont="1" applyFill="1"/>
    <xf numFmtId="0" fontId="9" fillId="24" borderId="0" xfId="1" applyFont="1" applyFill="1"/>
    <xf numFmtId="2" fontId="8" fillId="0" borderId="0" xfId="1" applyNumberFormat="1" applyFont="1"/>
    <xf numFmtId="2" fontId="9" fillId="4" borderId="0" xfId="1" applyNumberFormat="1" applyFont="1" applyFill="1"/>
    <xf numFmtId="0" fontId="8" fillId="6" borderId="0" xfId="1" applyFont="1" applyFill="1"/>
    <xf numFmtId="2" fontId="8" fillId="4" borderId="0" xfId="1" quotePrefix="1" applyNumberFormat="1" applyFont="1" applyFill="1"/>
    <xf numFmtId="0" fontId="11" fillId="0" borderId="0" xfId="2"/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1" fillId="0" borderId="0" xfId="2" applyAlignment="1">
      <alignment vertical="center"/>
    </xf>
    <xf numFmtId="0" fontId="0" fillId="0" borderId="7" xfId="0" applyBorder="1"/>
    <xf numFmtId="0" fontId="2" fillId="20" borderId="0" xfId="0" applyFont="1" applyFill="1"/>
    <xf numFmtId="0" fontId="0" fillId="3" borderId="7" xfId="0" applyFill="1" applyBorder="1"/>
    <xf numFmtId="0" fontId="1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3648B95A-5322-9547-9301-AAF285B05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'BPMED_2comp_celldesign_BPM-AEM'!$A$80:$A$89</c:f>
              <c:numCache>
                <c:formatCode>General</c:formatCode>
                <c:ptCount val="10"/>
                <c:pt idx="0">
                  <c:v>0</c:v>
                </c:pt>
                <c:pt idx="1">
                  <c:v>0.86330935251798502</c:v>
                </c:pt>
                <c:pt idx="2">
                  <c:v>6.9064748201438801</c:v>
                </c:pt>
                <c:pt idx="3">
                  <c:v>14.820143884892</c:v>
                </c:pt>
                <c:pt idx="4">
                  <c:v>20.143884892086302</c:v>
                </c:pt>
                <c:pt idx="5">
                  <c:v>39.568345323740999</c:v>
                </c:pt>
                <c:pt idx="6">
                  <c:v>49.640287769784102</c:v>
                </c:pt>
                <c:pt idx="7">
                  <c:v>59.424460431654602</c:v>
                </c:pt>
                <c:pt idx="8">
                  <c:v>80.719424460431597</c:v>
                </c:pt>
                <c:pt idx="9">
                  <c:v>99.424460431654595</c:v>
                </c:pt>
              </c:numCache>
            </c:numRef>
          </c:xVal>
          <c:yVal>
            <c:numRef>
              <c:f>'BPMED_2comp_celldesign_BPM-AEM'!$C$80:$C$89</c:f>
              <c:numCache>
                <c:formatCode>0.00</c:formatCode>
                <c:ptCount val="10"/>
                <c:pt idx="0">
                  <c:v>4.3460764587525097E-2</c:v>
                </c:pt>
                <c:pt idx="1">
                  <c:v>0.41733380281690097</c:v>
                </c:pt>
                <c:pt idx="2">
                  <c:v>0.76464185110663896</c:v>
                </c:pt>
                <c:pt idx="3">
                  <c:v>1.0376559356136821</c:v>
                </c:pt>
                <c:pt idx="4">
                  <c:v>1.1437022132796781</c:v>
                </c:pt>
                <c:pt idx="5">
                  <c:v>1.48338028169014</c:v>
                </c:pt>
                <c:pt idx="6">
                  <c:v>1.6520120724346001</c:v>
                </c:pt>
                <c:pt idx="7">
                  <c:v>1.82064386317907</c:v>
                </c:pt>
                <c:pt idx="8">
                  <c:v>2.1385915492957701</c:v>
                </c:pt>
                <c:pt idx="9">
                  <c:v>2.43963782696177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2C-9543-9390-4F5B3CE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684576"/>
        <c:axId val="1198160928"/>
      </c:scatterChart>
      <c:valAx>
        <c:axId val="119268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98160928"/>
        <c:crosses val="autoZero"/>
        <c:crossBetween val="midCat"/>
      </c:valAx>
      <c:valAx>
        <c:axId val="119816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19268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117288</xdr:colOff>
      <xdr:row>40</xdr:row>
      <xdr:rowOff>104588</xdr:rowOff>
    </xdr:from>
    <xdr:to>
      <xdr:col>7</xdr:col>
      <xdr:colOff>710453</xdr:colOff>
      <xdr:row>42</xdr:row>
      <xdr:rowOff>50800</xdr:rowOff>
    </xdr:to>
    <xdr:pic>
      <xdr:nvPicPr>
        <xdr:cNvPr id="2" name="Picture 1" descr="A graph of a graph of a depletion&#10;&#10;Description automatically generated with medium confidence">
          <a:extLst>
            <a:ext uri="{FF2B5EF4-FFF2-40B4-BE49-F238E27FC236}">
              <a16:creationId xmlns:a16="http://schemas.microsoft.com/office/drawing/2014/main" id="{76D789DA-2EF3-1136-01AD-AAF3BF76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" t="1729" r="11380" b="5920"/>
        <a:stretch>
          <a:fillRect/>
        </a:stretch>
      </xdr:blipFill>
      <xdr:spPr bwMode="auto">
        <a:xfrm>
          <a:off x="7012641" y="10152529"/>
          <a:ext cx="3469341" cy="253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552823</xdr:colOff>
      <xdr:row>33</xdr:row>
      <xdr:rowOff>134469</xdr:rowOff>
    </xdr:from>
    <xdr:to>
      <xdr:col>10</xdr:col>
      <xdr:colOff>609600</xdr:colOff>
      <xdr:row>38</xdr:row>
      <xdr:rowOff>42096</xdr:rowOff>
    </xdr:to>
    <xdr:pic>
      <xdr:nvPicPr>
        <xdr:cNvPr id="3" name="Picture 2" descr="A comparison of a graph&#10;&#10;Description automatically generated">
          <a:extLst>
            <a:ext uri="{FF2B5EF4-FFF2-40B4-BE49-F238E27FC236}">
              <a16:creationId xmlns:a16="http://schemas.microsoft.com/office/drawing/2014/main" id="{C8B9B081-B957-B606-43EB-F19D55DF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176" y="7253940"/>
          <a:ext cx="5943600" cy="2432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97692</xdr:colOff>
      <xdr:row>2</xdr:row>
      <xdr:rowOff>166077</xdr:rowOff>
    </xdr:from>
    <xdr:to>
      <xdr:col>10</xdr:col>
      <xdr:colOff>396631</xdr:colOff>
      <xdr:row>3</xdr:row>
      <xdr:rowOff>126734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411CCD-8A5F-8AB1-92E0-2065F92B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77" y="576385"/>
          <a:ext cx="7772400" cy="2803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</xdr:colOff>
      <xdr:row>51</xdr:row>
      <xdr:rowOff>130628</xdr:rowOff>
    </xdr:from>
    <xdr:to>
      <xdr:col>12</xdr:col>
      <xdr:colOff>1081315</xdr:colOff>
      <xdr:row>52</xdr:row>
      <xdr:rowOff>2251528</xdr:rowOff>
    </xdr:to>
    <xdr:pic>
      <xdr:nvPicPr>
        <xdr:cNvPr id="2" name="Picture 1" descr="A comparison of a graph&#10;&#10;Description automatically generated">
          <a:extLst>
            <a:ext uri="{FF2B5EF4-FFF2-40B4-BE49-F238E27FC236}">
              <a16:creationId xmlns:a16="http://schemas.microsoft.com/office/drawing/2014/main" id="{D66DBC45-4A49-1062-94E5-19FE83BF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6" t="7533" r="9297" b="9938"/>
        <a:stretch>
          <a:fillRect/>
        </a:stretch>
      </xdr:blipFill>
      <xdr:spPr bwMode="auto">
        <a:xfrm>
          <a:off x="11475357" y="11751128"/>
          <a:ext cx="5998029" cy="232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1357212</xdr:colOff>
      <xdr:row>76</xdr:row>
      <xdr:rowOff>30907</xdr:rowOff>
    </xdr:from>
    <xdr:to>
      <xdr:col>3</xdr:col>
      <xdr:colOff>5923351</xdr:colOff>
      <xdr:row>90</xdr:row>
      <xdr:rowOff>41653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B243C-D008-B445-AD14-47AF26864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s.rsc.org/en/content/articlelanding/2023/ee/d3ee01606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iencedirect.com/science/article/pii/S0378775323003427?via%3Dihub" TargetMode="External"/><Relationship Id="rId2" Type="http://schemas.openxmlformats.org/officeDocument/2006/relationships/hyperlink" Target="https://pubs.rsc.org/en/content/articlelanding/2023/ee/d3ee01606d" TargetMode="External"/><Relationship Id="rId1" Type="http://schemas.openxmlformats.org/officeDocument/2006/relationships/hyperlink" Target="https://www.fumatech.com/de/technical-data-sheets/" TargetMode="External"/><Relationship Id="rId4" Type="http://schemas.openxmlformats.org/officeDocument/2006/relationships/hyperlink" Target="https://www.nature.com/articles/s41598-020-80683-6?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ure.com/articles/s41598-020-80683-6?" TargetMode="External"/><Relationship Id="rId2" Type="http://schemas.openxmlformats.org/officeDocument/2006/relationships/hyperlink" Target="https://www.sciencedirect.com/science/article/pii/S0378775323003427?via%3Dihub" TargetMode="External"/><Relationship Id="rId1" Type="http://schemas.openxmlformats.org/officeDocument/2006/relationships/hyperlink" Target="https://pubs.rsc.org/en/content/articlelanding/2023/ee/d3ee01606d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DEED-3AA0-1D48-BCF7-5ACD44584EF3}">
  <dimension ref="A1:AG39"/>
  <sheetViews>
    <sheetView zoomScale="98" workbookViewId="0">
      <selection activeCell="F36" sqref="F36"/>
    </sheetView>
  </sheetViews>
  <sheetFormatPr baseColWidth="10" defaultRowHeight="16" x14ac:dyDescent="0.2"/>
  <cols>
    <col min="8" max="8" width="10.83203125" style="16"/>
    <col min="9" max="9" width="12.1640625" bestFit="1" customWidth="1"/>
    <col min="15" max="15" width="10.83203125" style="16"/>
    <col min="21" max="21" width="10.83203125" style="16"/>
    <col min="27" max="27" width="10.83203125" style="16"/>
    <col min="28" max="28" width="14.83203125" customWidth="1"/>
    <col min="29" max="29" width="11.33203125" customWidth="1"/>
    <col min="31" max="31" width="10.83203125" style="16"/>
    <col min="32" max="32" width="10.83203125" style="19"/>
  </cols>
  <sheetData>
    <row r="1" spans="1:32" s="17" customFormat="1" x14ac:dyDescent="0.2">
      <c r="B1" s="17" t="s">
        <v>0</v>
      </c>
      <c r="I1" s="17" t="s">
        <v>5</v>
      </c>
      <c r="M1" s="17" t="s">
        <v>9</v>
      </c>
      <c r="P1" s="17" t="s">
        <v>17</v>
      </c>
      <c r="R1" s="17" t="s">
        <v>18</v>
      </c>
      <c r="V1" s="17" t="s">
        <v>21</v>
      </c>
      <c r="Y1" s="17" t="s">
        <v>23</v>
      </c>
      <c r="AF1" s="18"/>
    </row>
    <row r="3" spans="1:32" x14ac:dyDescent="0.2">
      <c r="B3" t="s">
        <v>2</v>
      </c>
      <c r="D3" t="s">
        <v>35</v>
      </c>
      <c r="I3" s="1">
        <v>1</v>
      </c>
      <c r="J3" t="s">
        <v>6</v>
      </c>
      <c r="M3" s="1">
        <v>100</v>
      </c>
      <c r="N3" t="s">
        <v>10</v>
      </c>
      <c r="P3" s="1">
        <v>900</v>
      </c>
      <c r="Q3" t="s">
        <v>14</v>
      </c>
      <c r="R3" s="1">
        <v>60</v>
      </c>
      <c r="S3" t="s">
        <v>19</v>
      </c>
      <c r="V3" s="41">
        <v>5</v>
      </c>
      <c r="W3" t="s">
        <v>22</v>
      </c>
      <c r="Y3" s="1">
        <v>2.5000000000000001E-2</v>
      </c>
      <c r="Z3" t="s">
        <v>24</v>
      </c>
    </row>
    <row r="4" spans="1:32" x14ac:dyDescent="0.2">
      <c r="M4" s="1">
        <v>1</v>
      </c>
      <c r="N4" t="s">
        <v>11</v>
      </c>
    </row>
    <row r="5" spans="1:32" x14ac:dyDescent="0.2">
      <c r="M5" s="5">
        <f>M3*M4</f>
        <v>100</v>
      </c>
      <c r="N5" s="5" t="s">
        <v>12</v>
      </c>
      <c r="P5" s="5">
        <f>M5*P3</f>
        <v>90000</v>
      </c>
      <c r="Q5" s="5" t="s">
        <v>15</v>
      </c>
    </row>
    <row r="6" spans="1:32" s="16" customFormat="1" x14ac:dyDescent="0.2">
      <c r="AF6" s="20"/>
    </row>
    <row r="7" spans="1:32" x14ac:dyDescent="0.2">
      <c r="D7" t="s">
        <v>36</v>
      </c>
    </row>
    <row r="8" spans="1:32" x14ac:dyDescent="0.2">
      <c r="A8" t="s">
        <v>32</v>
      </c>
      <c r="B8" s="1">
        <v>150</v>
      </c>
      <c r="C8" t="s">
        <v>1</v>
      </c>
      <c r="D8" s="2">
        <v>1.2</v>
      </c>
      <c r="E8" t="s">
        <v>3</v>
      </c>
      <c r="I8" s="4">
        <f>$I$3/D8*1000000</f>
        <v>833333.33333333337</v>
      </c>
      <c r="J8" t="s">
        <v>7</v>
      </c>
      <c r="M8" s="6">
        <f>I8/$M$5</f>
        <v>8333.3333333333339</v>
      </c>
      <c r="N8" s="7" t="s">
        <v>13</v>
      </c>
      <c r="P8" s="6">
        <f>M8*$P$5</f>
        <v>750000000</v>
      </c>
      <c r="Q8" s="7" t="s">
        <v>16</v>
      </c>
      <c r="R8" s="1">
        <v>4</v>
      </c>
      <c r="S8" t="s">
        <v>20</v>
      </c>
      <c r="V8" s="6">
        <f>($V$3/R8-1)*$R$14/100*P8</f>
        <v>112500000</v>
      </c>
      <c r="W8" s="7" t="s">
        <v>16</v>
      </c>
      <c r="AB8" s="8" t="s">
        <v>27</v>
      </c>
      <c r="AC8" s="9">
        <f>(P8+V8)/1000000</f>
        <v>862.5</v>
      </c>
      <c r="AD8" s="8" t="s">
        <v>28</v>
      </c>
    </row>
    <row r="11" spans="1:32" x14ac:dyDescent="0.2">
      <c r="B11" t="s">
        <v>39</v>
      </c>
      <c r="D11" t="s">
        <v>37</v>
      </c>
      <c r="I11" s="3"/>
      <c r="V11" t="s">
        <v>29</v>
      </c>
      <c r="Y11" s="10" t="s">
        <v>26</v>
      </c>
      <c r="Z11" s="10"/>
    </row>
    <row r="12" spans="1:32" x14ac:dyDescent="0.2">
      <c r="B12" s="2">
        <v>1.3</v>
      </c>
      <c r="C12" t="s">
        <v>40</v>
      </c>
      <c r="D12" s="5">
        <f>B8/D8*B12*8000/1000</f>
        <v>1300</v>
      </c>
      <c r="E12" t="s">
        <v>4</v>
      </c>
      <c r="I12" s="4">
        <f>D12*$I$3*1000000</f>
        <v>1300000000</v>
      </c>
      <c r="J12" t="s">
        <v>8</v>
      </c>
      <c r="V12" s="3">
        <f>I12*$V$3</f>
        <v>6500000000</v>
      </c>
      <c r="W12" t="s">
        <v>25</v>
      </c>
      <c r="Y12" s="11">
        <f>V12*$Y$3</f>
        <v>162500000</v>
      </c>
      <c r="Z12" s="10" t="s">
        <v>16</v>
      </c>
      <c r="AB12" s="8" t="s">
        <v>30</v>
      </c>
      <c r="AC12" s="9">
        <f>Y12/1000000</f>
        <v>162.5</v>
      </c>
      <c r="AD12" s="8" t="s">
        <v>28</v>
      </c>
    </row>
    <row r="13" spans="1:32" x14ac:dyDescent="0.2">
      <c r="R13" s="1">
        <v>0</v>
      </c>
      <c r="S13" t="s">
        <v>41</v>
      </c>
      <c r="AB13" s="27" t="s">
        <v>44</v>
      </c>
      <c r="AC13" s="28">
        <f>AC8/AC12</f>
        <v>5.3076923076923075</v>
      </c>
    </row>
    <row r="14" spans="1:32" ht="17" thickBot="1" x14ac:dyDescent="0.25">
      <c r="R14" s="26">
        <f>R3+R13</f>
        <v>60</v>
      </c>
      <c r="S14" t="s">
        <v>42</v>
      </c>
    </row>
    <row r="15" spans="1:32" ht="17" thickBot="1" x14ac:dyDescent="0.25">
      <c r="AB15" s="12" t="s">
        <v>31</v>
      </c>
      <c r="AC15" s="13">
        <f>AC8+AC12</f>
        <v>1025</v>
      </c>
      <c r="AD15" s="14" t="s">
        <v>28</v>
      </c>
    </row>
    <row r="16" spans="1:32" x14ac:dyDescent="0.2">
      <c r="AC16" s="29">
        <f>AC15/$I$3</f>
        <v>1025</v>
      </c>
      <c r="AD16" s="29" t="s">
        <v>43</v>
      </c>
    </row>
    <row r="17" spans="1:33" s="16" customFormat="1" x14ac:dyDescent="0.2">
      <c r="AF17" s="20"/>
    </row>
    <row r="18" spans="1:33" x14ac:dyDescent="0.2">
      <c r="D18" t="s">
        <v>36</v>
      </c>
      <c r="R18" s="25"/>
    </row>
    <row r="19" spans="1:33" x14ac:dyDescent="0.2">
      <c r="A19" t="s">
        <v>33</v>
      </c>
      <c r="B19" s="1">
        <v>250</v>
      </c>
      <c r="C19" t="s">
        <v>1</v>
      </c>
      <c r="D19" s="2">
        <v>2.2000000000000002</v>
      </c>
      <c r="E19" t="s">
        <v>3</v>
      </c>
      <c r="I19" s="4">
        <f>$I$3/D19*1000000</f>
        <v>454545.45454545453</v>
      </c>
      <c r="J19" t="s">
        <v>7</v>
      </c>
      <c r="M19" s="6">
        <f>I19/$M$5</f>
        <v>4545.454545454545</v>
      </c>
      <c r="N19" s="7" t="s">
        <v>13</v>
      </c>
      <c r="P19" s="6">
        <f>M19*$P$5</f>
        <v>409090909.09090906</v>
      </c>
      <c r="Q19" s="7" t="s">
        <v>16</v>
      </c>
      <c r="R19" s="1">
        <v>3</v>
      </c>
      <c r="S19" t="s">
        <v>20</v>
      </c>
      <c r="V19" s="6">
        <f>($V$3/R19-1)*$R$14/100*P19</f>
        <v>163636363.63636366</v>
      </c>
      <c r="W19" s="7" t="s">
        <v>16</v>
      </c>
      <c r="AB19" s="8" t="s">
        <v>27</v>
      </c>
      <c r="AC19" s="9">
        <f>(P19+V19)/1000000</f>
        <v>572.72727272727275</v>
      </c>
      <c r="AD19" s="8" t="s">
        <v>28</v>
      </c>
    </row>
    <row r="22" spans="1:33" x14ac:dyDescent="0.2">
      <c r="B22" t="s">
        <v>39</v>
      </c>
      <c r="D22" t="s">
        <v>37</v>
      </c>
      <c r="I22" s="3"/>
      <c r="V22" t="s">
        <v>29</v>
      </c>
      <c r="Y22" s="10" t="s">
        <v>26</v>
      </c>
      <c r="Z22" s="10"/>
    </row>
    <row r="23" spans="1:33" x14ac:dyDescent="0.2">
      <c r="B23" s="2">
        <v>2.1</v>
      </c>
      <c r="C23" t="s">
        <v>40</v>
      </c>
      <c r="D23" s="5">
        <f>B19/D19*B23*8000/1000</f>
        <v>1909.090909090909</v>
      </c>
      <c r="E23" t="s">
        <v>4</v>
      </c>
      <c r="I23" s="4">
        <f>D23*$I$3*1000000</f>
        <v>1909090909.090909</v>
      </c>
      <c r="J23" t="s">
        <v>8</v>
      </c>
      <c r="V23" s="3">
        <f>I23*$V$3</f>
        <v>9545454545.4545441</v>
      </c>
      <c r="W23" t="s">
        <v>25</v>
      </c>
      <c r="Y23" s="11">
        <f>V23*$Y$3</f>
        <v>238636363.63636363</v>
      </c>
      <c r="Z23" s="10" t="s">
        <v>16</v>
      </c>
      <c r="AB23" s="8" t="s">
        <v>30</v>
      </c>
      <c r="AC23" s="9">
        <f>Y23/1000000</f>
        <v>238.63636363636363</v>
      </c>
      <c r="AD23" s="8" t="s">
        <v>28</v>
      </c>
    </row>
    <row r="24" spans="1:33" x14ac:dyDescent="0.2">
      <c r="R24" s="1">
        <v>5</v>
      </c>
      <c r="S24" t="s">
        <v>41</v>
      </c>
      <c r="AB24" s="27" t="s">
        <v>44</v>
      </c>
      <c r="AC24" s="28">
        <f>AC19/AC23</f>
        <v>2.4000000000000004</v>
      </c>
    </row>
    <row r="25" spans="1:33" ht="17" thickBot="1" x14ac:dyDescent="0.25">
      <c r="R25" s="26">
        <f>R3+R24</f>
        <v>65</v>
      </c>
      <c r="S25" t="s">
        <v>42</v>
      </c>
      <c r="AF25" s="21">
        <f>100- AC26/AC15*100</f>
        <v>20.842572062084258</v>
      </c>
      <c r="AG25" s="22" t="s">
        <v>38</v>
      </c>
    </row>
    <row r="26" spans="1:33" ht="17" thickBot="1" x14ac:dyDescent="0.25">
      <c r="AB26" s="12" t="s">
        <v>31</v>
      </c>
      <c r="AC26" s="13">
        <f>AC19+AC23</f>
        <v>811.36363636363637</v>
      </c>
      <c r="AD26" s="14" t="s">
        <v>28</v>
      </c>
      <c r="AG26" s="15"/>
    </row>
    <row r="27" spans="1:33" x14ac:dyDescent="0.2">
      <c r="AC27" s="29">
        <f>AC26/$I$3</f>
        <v>811.36363636363637</v>
      </c>
      <c r="AD27" s="29" t="s">
        <v>43</v>
      </c>
      <c r="AF27" s="21">
        <f>100-AC26/AC38*100</f>
        <v>21.733411283250504</v>
      </c>
      <c r="AG27" s="23" t="s">
        <v>38</v>
      </c>
    </row>
    <row r="29" spans="1:33" s="16" customFormat="1" x14ac:dyDescent="0.2">
      <c r="AF29" s="20"/>
    </row>
    <row r="30" spans="1:33" x14ac:dyDescent="0.2">
      <c r="D30" t="s">
        <v>36</v>
      </c>
    </row>
    <row r="31" spans="1:33" x14ac:dyDescent="0.2">
      <c r="A31" t="s">
        <v>34</v>
      </c>
      <c r="B31" s="1">
        <v>500</v>
      </c>
      <c r="C31" t="s">
        <v>1</v>
      </c>
      <c r="D31" s="24">
        <v>3</v>
      </c>
      <c r="E31" t="s">
        <v>3</v>
      </c>
      <c r="I31" s="4">
        <f>$I$3/D31*1000000</f>
        <v>333333.33333333331</v>
      </c>
      <c r="J31" t="s">
        <v>7</v>
      </c>
      <c r="M31" s="6">
        <f>I31/$M$5</f>
        <v>3333.333333333333</v>
      </c>
      <c r="N31" s="7" t="s">
        <v>13</v>
      </c>
      <c r="P31" s="6">
        <f>M31*$P$5</f>
        <v>300000000</v>
      </c>
      <c r="Q31" s="7" t="s">
        <v>16</v>
      </c>
      <c r="R31" s="1">
        <v>1.5</v>
      </c>
      <c r="S31" t="s">
        <v>20</v>
      </c>
      <c r="V31" s="6">
        <f>($V$3/R31-1)*$R$14/100*P31</f>
        <v>420000000</v>
      </c>
      <c r="W31" s="7" t="s">
        <v>16</v>
      </c>
      <c r="AB31" s="8" t="s">
        <v>27</v>
      </c>
      <c r="AC31" s="9">
        <f>(P31+V31)/1000000</f>
        <v>720</v>
      </c>
      <c r="AD31" s="8" t="s">
        <v>28</v>
      </c>
    </row>
    <row r="34" spans="2:30" x14ac:dyDescent="0.2">
      <c r="B34" t="s">
        <v>39</v>
      </c>
      <c r="D34" t="s">
        <v>37</v>
      </c>
      <c r="I34" s="3"/>
      <c r="V34" t="s">
        <v>29</v>
      </c>
      <c r="Y34" s="10" t="s">
        <v>26</v>
      </c>
      <c r="Z34" s="10"/>
    </row>
    <row r="35" spans="2:30" x14ac:dyDescent="0.2">
      <c r="B35" s="2">
        <v>1.9</v>
      </c>
      <c r="C35" t="s">
        <v>40</v>
      </c>
      <c r="D35" s="5">
        <f>B31/D31*B35*8000/1000</f>
        <v>2533.333333333333</v>
      </c>
      <c r="E35" t="s">
        <v>4</v>
      </c>
      <c r="I35" s="4">
        <f>D35*$I$3*1000000</f>
        <v>2533333333.333333</v>
      </c>
      <c r="J35" t="s">
        <v>8</v>
      </c>
      <c r="V35" s="3">
        <f>I35*$V$3</f>
        <v>12666666666.666664</v>
      </c>
      <c r="W35" t="s">
        <v>25</v>
      </c>
      <c r="Y35" s="11">
        <f>V35*$Y$3</f>
        <v>316666666.66666663</v>
      </c>
      <c r="Z35" s="10" t="s">
        <v>16</v>
      </c>
      <c r="AB35" s="8" t="s">
        <v>30</v>
      </c>
      <c r="AC35" s="9">
        <f>Y35/1000000</f>
        <v>316.66666666666663</v>
      </c>
      <c r="AD35" s="8" t="s">
        <v>28</v>
      </c>
    </row>
    <row r="36" spans="2:30" x14ac:dyDescent="0.2">
      <c r="R36" s="1">
        <v>10</v>
      </c>
      <c r="S36" t="s">
        <v>41</v>
      </c>
      <c r="AB36" s="27" t="s">
        <v>44</v>
      </c>
      <c r="AC36" s="28">
        <f>AC31/AC35</f>
        <v>2.2736842105263162</v>
      </c>
    </row>
    <row r="37" spans="2:30" ht="17" thickBot="1" x14ac:dyDescent="0.25">
      <c r="R37" s="26">
        <f>R3+R36</f>
        <v>70</v>
      </c>
      <c r="S37" t="s">
        <v>42</v>
      </c>
    </row>
    <row r="38" spans="2:30" ht="17" thickBot="1" x14ac:dyDescent="0.25">
      <c r="AB38" s="12" t="s">
        <v>31</v>
      </c>
      <c r="AC38" s="13">
        <f>AC31+AC35</f>
        <v>1036.6666666666665</v>
      </c>
      <c r="AD38" s="14" t="s">
        <v>28</v>
      </c>
    </row>
    <row r="39" spans="2:30" x14ac:dyDescent="0.2">
      <c r="D39" t="s">
        <v>45</v>
      </c>
      <c r="AC39" s="29">
        <f>AC38/$I$3</f>
        <v>1036.6666666666665</v>
      </c>
      <c r="AD39" s="29" t="s">
        <v>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AC2F-77B6-A744-A4F5-8A58AF48A09C}">
  <dimension ref="A3:C21"/>
  <sheetViews>
    <sheetView zoomScale="130" zoomScaleNormal="130" workbookViewId="0">
      <selection activeCell="C13" sqref="C13"/>
    </sheetView>
  </sheetViews>
  <sheetFormatPr baseColWidth="10" defaultColWidth="8.83203125" defaultRowHeight="15" x14ac:dyDescent="0.2"/>
  <cols>
    <col min="1" max="1" width="57.5" style="86" customWidth="1"/>
    <col min="2" max="2" width="12.1640625" style="86" bestFit="1" customWidth="1"/>
    <col min="3" max="3" width="20.1640625" style="86" bestFit="1" customWidth="1"/>
    <col min="4" max="16384" width="8.83203125" style="86"/>
  </cols>
  <sheetData>
    <row r="3" spans="1:3" x14ac:dyDescent="0.2">
      <c r="A3" s="88" t="s">
        <v>258</v>
      </c>
      <c r="C3" s="87"/>
    </row>
    <row r="4" spans="1:3" x14ac:dyDescent="0.2">
      <c r="A4" s="86" t="s">
        <v>257</v>
      </c>
      <c r="B4" s="86" t="s">
        <v>211</v>
      </c>
      <c r="C4" s="87"/>
    </row>
    <row r="5" spans="1:3" x14ac:dyDescent="0.2">
      <c r="C5" s="87"/>
    </row>
    <row r="6" spans="1:3" x14ac:dyDescent="0.2">
      <c r="A6" s="86" t="s">
        <v>256</v>
      </c>
      <c r="C6" s="87"/>
    </row>
    <row r="7" spans="1:3" x14ac:dyDescent="0.2">
      <c r="A7" s="111" t="s">
        <v>221</v>
      </c>
      <c r="C7" s="87"/>
    </row>
    <row r="8" spans="1:3" x14ac:dyDescent="0.2">
      <c r="A8" s="88"/>
      <c r="C8" s="87"/>
    </row>
    <row r="9" spans="1:3" x14ac:dyDescent="0.2">
      <c r="A9" s="88" t="s">
        <v>143</v>
      </c>
      <c r="B9" s="88" t="s">
        <v>144</v>
      </c>
      <c r="C9" s="87"/>
    </row>
    <row r="10" spans="1:3" ht="16" customHeight="1" x14ac:dyDescent="0.2">
      <c r="A10" s="89">
        <v>0</v>
      </c>
      <c r="B10" s="89">
        <v>4.3460764587525097E-2</v>
      </c>
      <c r="C10" s="87"/>
    </row>
    <row r="11" spans="1:3" x14ac:dyDescent="0.2">
      <c r="A11" s="89">
        <v>0.86330935251798502</v>
      </c>
      <c r="B11" s="89">
        <v>0.40563380281690098</v>
      </c>
      <c r="C11" s="87"/>
    </row>
    <row r="12" spans="1:3" x14ac:dyDescent="0.2">
      <c r="A12" s="89">
        <v>6.9064748201438801</v>
      </c>
      <c r="B12" s="89">
        <v>0.67364185110663899</v>
      </c>
      <c r="C12" s="87"/>
    </row>
    <row r="13" spans="1:3" x14ac:dyDescent="0.2">
      <c r="A13" s="89">
        <v>14.820143884892</v>
      </c>
      <c r="B13" s="89">
        <v>0.84265593561368202</v>
      </c>
      <c r="C13" s="87"/>
    </row>
    <row r="14" spans="1:3" x14ac:dyDescent="0.2">
      <c r="A14" s="89">
        <v>20.143884892086302</v>
      </c>
      <c r="B14" s="89">
        <v>0.88370221327967802</v>
      </c>
      <c r="C14" s="87"/>
    </row>
    <row r="15" spans="1:3" x14ac:dyDescent="0.2">
      <c r="A15" s="89">
        <v>39.568345323740999</v>
      </c>
      <c r="B15" s="89">
        <v>0.96338028169014001</v>
      </c>
      <c r="C15" s="87"/>
    </row>
    <row r="16" spans="1:3" x14ac:dyDescent="0.2">
      <c r="A16" s="89">
        <v>49.640287769784102</v>
      </c>
      <c r="B16" s="89">
        <v>1.0020120724346</v>
      </c>
      <c r="C16" s="87"/>
    </row>
    <row r="17" spans="1:3" x14ac:dyDescent="0.2">
      <c r="A17" s="89">
        <v>59.424460431654602</v>
      </c>
      <c r="B17" s="89">
        <v>1.04064386317907</v>
      </c>
      <c r="C17" s="87"/>
    </row>
    <row r="18" spans="1:3" x14ac:dyDescent="0.2">
      <c r="A18" s="89">
        <v>80.719424460431597</v>
      </c>
      <c r="B18" s="89">
        <v>1.0985915492957701</v>
      </c>
      <c r="C18" s="87"/>
    </row>
    <row r="19" spans="1:3" x14ac:dyDescent="0.2">
      <c r="A19" s="89">
        <v>99.424460431654595</v>
      </c>
      <c r="B19" s="89">
        <v>1.13963782696177</v>
      </c>
      <c r="C19" s="87"/>
    </row>
    <row r="20" spans="1:3" x14ac:dyDescent="0.2">
      <c r="C20" s="87"/>
    </row>
    <row r="21" spans="1:3" x14ac:dyDescent="0.2">
      <c r="C21" s="87"/>
    </row>
  </sheetData>
  <hyperlinks>
    <hyperlink ref="A7" r:id="rId1" xr:uid="{2CDF212C-58D3-DA45-8D59-B2739DBE2B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3A03-3FB7-064E-BD3C-845B41B20DA7}">
  <dimension ref="A1:T91"/>
  <sheetViews>
    <sheetView topLeftCell="A46" zoomScale="110" zoomScaleNormal="110" workbookViewId="0">
      <selection activeCell="D72" sqref="D72"/>
    </sheetView>
  </sheetViews>
  <sheetFormatPr baseColWidth="10" defaultColWidth="8.83203125" defaultRowHeight="15" x14ac:dyDescent="0.2"/>
  <cols>
    <col min="1" max="1" width="90.6640625" style="86" customWidth="1"/>
    <col min="2" max="2" width="33.5" style="86" customWidth="1"/>
    <col min="3" max="3" width="15" style="86" customWidth="1"/>
    <col min="4" max="4" width="103.1640625" style="86" bestFit="1" customWidth="1"/>
    <col min="5" max="11" width="8.83203125" style="86"/>
    <col min="12" max="13" width="13" style="86" bestFit="1" customWidth="1"/>
    <col min="14" max="14" width="14.33203125" style="86" bestFit="1" customWidth="1"/>
    <col min="15" max="16" width="8.83203125" style="86"/>
    <col min="17" max="17" width="25" style="86" customWidth="1"/>
    <col min="18" max="18" width="8.83203125" style="86"/>
    <col min="19" max="19" width="19.83203125" style="86" bestFit="1" customWidth="1"/>
    <col min="20" max="20" width="20.1640625" style="86" bestFit="1" customWidth="1"/>
    <col min="21" max="16384" width="8.83203125" style="86"/>
  </cols>
  <sheetData>
    <row r="1" spans="1:6" x14ac:dyDescent="0.2">
      <c r="A1" s="90" t="s">
        <v>145</v>
      </c>
    </row>
    <row r="3" spans="1:6" x14ac:dyDescent="0.2">
      <c r="A3" s="88" t="s">
        <v>146</v>
      </c>
    </row>
    <row r="4" spans="1:6" x14ac:dyDescent="0.2">
      <c r="A4" s="86" t="s">
        <v>147</v>
      </c>
      <c r="B4" s="89">
        <v>8.3140000000000001</v>
      </c>
      <c r="C4" s="86" t="s">
        <v>148</v>
      </c>
      <c r="D4" s="86" t="s">
        <v>149</v>
      </c>
    </row>
    <row r="5" spans="1:6" x14ac:dyDescent="0.2">
      <c r="A5" s="86" t="s">
        <v>150</v>
      </c>
      <c r="B5" s="91">
        <v>1.3800000000000001E-23</v>
      </c>
      <c r="C5" s="86" t="s">
        <v>151</v>
      </c>
      <c r="D5" s="86" t="s">
        <v>152</v>
      </c>
    </row>
    <row r="6" spans="1:6" x14ac:dyDescent="0.2">
      <c r="A6" s="86" t="s">
        <v>153</v>
      </c>
      <c r="B6" s="91">
        <v>6.0220000000000003E+23</v>
      </c>
      <c r="C6" s="86" t="s">
        <v>154</v>
      </c>
      <c r="D6" s="86" t="s">
        <v>155</v>
      </c>
    </row>
    <row r="7" spans="1:6" x14ac:dyDescent="0.2">
      <c r="A7" s="86" t="s">
        <v>156</v>
      </c>
      <c r="B7" s="91">
        <v>1.602E-19</v>
      </c>
      <c r="C7" s="86" t="s">
        <v>99</v>
      </c>
      <c r="D7" s="86" t="s">
        <v>157</v>
      </c>
    </row>
    <row r="8" spans="1:6" x14ac:dyDescent="0.2">
      <c r="A8" s="86" t="s">
        <v>158</v>
      </c>
      <c r="B8" s="91">
        <f>B6*B7</f>
        <v>96472.44</v>
      </c>
      <c r="C8" s="86" t="s">
        <v>159</v>
      </c>
      <c r="D8" s="86" t="s">
        <v>160</v>
      </c>
    </row>
    <row r="10" spans="1:6" x14ac:dyDescent="0.2">
      <c r="A10" s="88" t="s">
        <v>161</v>
      </c>
      <c r="B10" s="92"/>
      <c r="C10" s="92"/>
      <c r="D10" s="92"/>
      <c r="E10" s="92"/>
      <c r="F10" s="92"/>
    </row>
    <row r="11" spans="1:6" x14ac:dyDescent="0.2">
      <c r="A11" s="86" t="s">
        <v>162</v>
      </c>
      <c r="B11" s="93">
        <v>4.4999999999999999E-4</v>
      </c>
      <c r="C11" s="94" t="s">
        <v>163</v>
      </c>
      <c r="D11" s="94" t="s">
        <v>219</v>
      </c>
    </row>
    <row r="12" spans="1:6" x14ac:dyDescent="0.2">
      <c r="A12" s="86" t="s">
        <v>164</v>
      </c>
      <c r="B12" s="93">
        <v>1E-4</v>
      </c>
      <c r="C12" s="94" t="s">
        <v>163</v>
      </c>
      <c r="D12" s="94" t="s">
        <v>165</v>
      </c>
    </row>
    <row r="13" spans="1:6" s="89" customFormat="1" x14ac:dyDescent="0.2">
      <c r="A13" s="86" t="s">
        <v>166</v>
      </c>
      <c r="B13" s="91">
        <v>5.0000000000000001E-4</v>
      </c>
      <c r="C13" s="91" t="s">
        <v>163</v>
      </c>
      <c r="D13" s="89" t="s">
        <v>167</v>
      </c>
    </row>
    <row r="14" spans="1:6" s="89" customFormat="1" x14ac:dyDescent="0.2">
      <c r="A14" s="86" t="s">
        <v>168</v>
      </c>
      <c r="B14" s="91">
        <v>1</v>
      </c>
      <c r="C14" s="89" t="s">
        <v>163</v>
      </c>
      <c r="D14" s="89" t="s">
        <v>169</v>
      </c>
    </row>
    <row r="15" spans="1:6" s="89" customFormat="1" x14ac:dyDescent="0.2">
      <c r="A15" s="86" t="s">
        <v>170</v>
      </c>
      <c r="B15" s="91">
        <v>50</v>
      </c>
      <c r="C15" s="89" t="s">
        <v>171</v>
      </c>
      <c r="D15" s="89" t="s">
        <v>172</v>
      </c>
    </row>
    <row r="16" spans="1:6" s="89" customFormat="1" x14ac:dyDescent="0.2">
      <c r="A16" s="86" t="s">
        <v>173</v>
      </c>
      <c r="B16" s="91">
        <v>0</v>
      </c>
      <c r="C16" s="89" t="s">
        <v>171</v>
      </c>
      <c r="D16" s="89" t="s">
        <v>174</v>
      </c>
      <c r="F16" s="95"/>
    </row>
    <row r="17" spans="1:11" s="89" customFormat="1" x14ac:dyDescent="0.2">
      <c r="A17" s="86" t="s">
        <v>175</v>
      </c>
      <c r="B17" s="91">
        <v>1</v>
      </c>
      <c r="C17" s="89" t="s">
        <v>163</v>
      </c>
      <c r="D17" s="89" t="s">
        <v>176</v>
      </c>
    </row>
    <row r="19" spans="1:11" x14ac:dyDescent="0.2">
      <c r="A19" s="86" t="s">
        <v>177</v>
      </c>
      <c r="B19" s="93">
        <v>10</v>
      </c>
      <c r="C19" s="94" t="s">
        <v>178</v>
      </c>
      <c r="D19" s="86" t="s">
        <v>239</v>
      </c>
    </row>
    <row r="20" spans="1:11" x14ac:dyDescent="0.2">
      <c r="A20" s="86" t="s">
        <v>179</v>
      </c>
      <c r="B20" s="94">
        <v>2</v>
      </c>
      <c r="C20" s="94" t="s">
        <v>178</v>
      </c>
      <c r="D20" s="86" t="s">
        <v>180</v>
      </c>
    </row>
    <row r="22" spans="1:11" x14ac:dyDescent="0.2">
      <c r="A22" s="86" t="s">
        <v>181</v>
      </c>
      <c r="B22" s="96">
        <f>B19/100^2/(B14*B17)</f>
        <v>1E-3</v>
      </c>
      <c r="C22" s="86" t="s">
        <v>182</v>
      </c>
    </row>
    <row r="23" spans="1:11" x14ac:dyDescent="0.2">
      <c r="A23" s="86" t="s">
        <v>183</v>
      </c>
      <c r="B23" s="96">
        <f>B20/(100^2)/B14/B17</f>
        <v>2.0000000000000001E-4</v>
      </c>
      <c r="C23" s="86" t="s">
        <v>182</v>
      </c>
    </row>
    <row r="25" spans="1:11" x14ac:dyDescent="0.2">
      <c r="A25" s="86" t="s">
        <v>184</v>
      </c>
      <c r="B25" s="94">
        <v>100</v>
      </c>
      <c r="C25" s="97" t="s">
        <v>185</v>
      </c>
      <c r="E25" s="97"/>
      <c r="K25" s="97"/>
    </row>
    <row r="26" spans="1:11" x14ac:dyDescent="0.2">
      <c r="B26" s="98">
        <f>B25*100/1000</f>
        <v>10</v>
      </c>
      <c r="C26" s="86" t="s">
        <v>186</v>
      </c>
      <c r="E26" s="97"/>
      <c r="K26" s="97"/>
    </row>
    <row r="27" spans="1:11" x14ac:dyDescent="0.2">
      <c r="A27" s="86" t="s">
        <v>187</v>
      </c>
      <c r="B27" s="96">
        <f>B26*B14*B17/B13</f>
        <v>20000</v>
      </c>
      <c r="C27" s="86" t="s">
        <v>188</v>
      </c>
    </row>
    <row r="28" spans="1:11" x14ac:dyDescent="0.2">
      <c r="A28" s="86" t="s">
        <v>189</v>
      </c>
      <c r="B28" s="99">
        <f>1/B27</f>
        <v>5.0000000000000002E-5</v>
      </c>
      <c r="C28" s="100" t="s">
        <v>182</v>
      </c>
      <c r="J28" s="97"/>
    </row>
    <row r="29" spans="1:11" x14ac:dyDescent="0.2">
      <c r="J29" s="97"/>
    </row>
    <row r="30" spans="1:11" x14ac:dyDescent="0.2">
      <c r="A30" s="86" t="s">
        <v>190</v>
      </c>
      <c r="B30" s="94">
        <v>100</v>
      </c>
      <c r="C30" s="97" t="s">
        <v>185</v>
      </c>
    </row>
    <row r="31" spans="1:11" x14ac:dyDescent="0.2">
      <c r="B31" s="98">
        <f>B30*100/1000</f>
        <v>10</v>
      </c>
      <c r="C31" s="86" t="s">
        <v>186</v>
      </c>
      <c r="J31" s="97"/>
    </row>
    <row r="32" spans="1:11" x14ac:dyDescent="0.2">
      <c r="A32" s="86" t="s">
        <v>191</v>
      </c>
      <c r="B32" s="96">
        <f>B31*B14*B17/B13</f>
        <v>20000</v>
      </c>
      <c r="C32" s="86" t="s">
        <v>188</v>
      </c>
    </row>
    <row r="33" spans="1:20" x14ac:dyDescent="0.2">
      <c r="A33" s="86" t="s">
        <v>192</v>
      </c>
      <c r="B33" s="99">
        <f>1/B32</f>
        <v>5.0000000000000002E-5</v>
      </c>
      <c r="C33" s="100" t="s">
        <v>182</v>
      </c>
      <c r="J33" s="97"/>
    </row>
    <row r="34" spans="1:20" x14ac:dyDescent="0.2">
      <c r="C34" s="97"/>
      <c r="J34" s="97"/>
    </row>
    <row r="35" spans="1:20" x14ac:dyDescent="0.2">
      <c r="A35" s="86" t="s">
        <v>193</v>
      </c>
      <c r="B35" s="94">
        <v>100</v>
      </c>
      <c r="C35" s="86" t="s">
        <v>185</v>
      </c>
    </row>
    <row r="36" spans="1:20" x14ac:dyDescent="0.2">
      <c r="B36" s="98">
        <f>B35*100/1000</f>
        <v>10</v>
      </c>
      <c r="C36" s="86" t="s">
        <v>186</v>
      </c>
    </row>
    <row r="37" spans="1:20" x14ac:dyDescent="0.2">
      <c r="A37" s="86" t="s">
        <v>194</v>
      </c>
      <c r="B37" s="96">
        <f>B36*B14*B17/B13</f>
        <v>20000</v>
      </c>
      <c r="C37" s="86" t="s">
        <v>188</v>
      </c>
    </row>
    <row r="38" spans="1:20" x14ac:dyDescent="0.2">
      <c r="A38" s="86" t="s">
        <v>195</v>
      </c>
      <c r="B38" s="99">
        <f>1/B37</f>
        <v>5.0000000000000002E-5</v>
      </c>
      <c r="C38" s="99" t="s">
        <v>182</v>
      </c>
    </row>
    <row r="40" spans="1:20" x14ac:dyDescent="0.2">
      <c r="A40" s="86" t="s">
        <v>196</v>
      </c>
      <c r="B40" s="94">
        <v>100</v>
      </c>
      <c r="C40" s="86" t="s">
        <v>185</v>
      </c>
    </row>
    <row r="41" spans="1:20" x14ac:dyDescent="0.2">
      <c r="B41" s="98">
        <f>B40*100/1000</f>
        <v>10</v>
      </c>
      <c r="C41" s="97" t="s">
        <v>186</v>
      </c>
    </row>
    <row r="42" spans="1:20" x14ac:dyDescent="0.2">
      <c r="A42" s="86" t="s">
        <v>197</v>
      </c>
      <c r="B42" s="96">
        <f>B41*B14*B17/B13</f>
        <v>20000</v>
      </c>
      <c r="C42" s="86" t="s">
        <v>188</v>
      </c>
    </row>
    <row r="43" spans="1:20" x14ac:dyDescent="0.2">
      <c r="A43" s="86" t="s">
        <v>198</v>
      </c>
      <c r="B43" s="99">
        <f>1/B42</f>
        <v>5.0000000000000002E-5</v>
      </c>
      <c r="C43" s="100" t="s">
        <v>182</v>
      </c>
      <c r="T43" s="87"/>
    </row>
    <row r="44" spans="1:20" x14ac:dyDescent="0.2">
      <c r="T44" s="87"/>
    </row>
    <row r="45" spans="1:20" x14ac:dyDescent="0.2">
      <c r="A45" s="86" t="s">
        <v>199</v>
      </c>
      <c r="B45" s="100">
        <f>SQRT(B28*B33)</f>
        <v>5.0000000000000002E-5</v>
      </c>
      <c r="C45" s="86" t="s">
        <v>182</v>
      </c>
      <c r="D45" s="86" t="s">
        <v>200</v>
      </c>
    </row>
    <row r="46" spans="1:20" x14ac:dyDescent="0.2">
      <c r="A46" s="86" t="s">
        <v>201</v>
      </c>
      <c r="B46" s="100">
        <f>SQRT(B43*B38)</f>
        <v>5.0000000000000002E-5</v>
      </c>
      <c r="C46" s="86" t="s">
        <v>182</v>
      </c>
      <c r="D46" s="86" t="s">
        <v>200</v>
      </c>
    </row>
    <row r="47" spans="1:20" x14ac:dyDescent="0.2">
      <c r="D47" s="86" t="s">
        <v>202</v>
      </c>
      <c r="E47" s="94">
        <v>50</v>
      </c>
      <c r="F47" s="86" t="s">
        <v>203</v>
      </c>
    </row>
    <row r="48" spans="1:20" x14ac:dyDescent="0.2">
      <c r="A48" s="86" t="s">
        <v>204</v>
      </c>
      <c r="B48" s="101">
        <f>B22+B23</f>
        <v>1.2000000000000001E-3</v>
      </c>
      <c r="C48" s="102" t="s">
        <v>182</v>
      </c>
      <c r="D48" s="101">
        <f>$E$47*10*B48</f>
        <v>0.60000000000000009</v>
      </c>
      <c r="E48" s="102" t="s">
        <v>40</v>
      </c>
    </row>
    <row r="49" spans="1:6" x14ac:dyDescent="0.2">
      <c r="A49" s="86" t="s">
        <v>205</v>
      </c>
      <c r="B49" s="101">
        <f>B46+B45</f>
        <v>1E-4</v>
      </c>
      <c r="C49" s="102" t="s">
        <v>182</v>
      </c>
      <c r="D49" s="101">
        <f>$E$47*10*B49</f>
        <v>0.05</v>
      </c>
      <c r="E49" s="102" t="s">
        <v>40</v>
      </c>
      <c r="F49" s="86" t="s">
        <v>251</v>
      </c>
    </row>
    <row r="50" spans="1:6" ht="16" customHeight="1" x14ac:dyDescent="0.2">
      <c r="A50" s="86" t="s">
        <v>206</v>
      </c>
      <c r="B50" s="99">
        <f>B45+B46+B22+B23</f>
        <v>1.3000000000000002E-3</v>
      </c>
      <c r="C50" s="100" t="s">
        <v>182</v>
      </c>
      <c r="D50" s="86" t="s">
        <v>207</v>
      </c>
    </row>
    <row r="51" spans="1:6" x14ac:dyDescent="0.2">
      <c r="A51" s="86" t="s">
        <v>208</v>
      </c>
      <c r="B51" s="99">
        <f>2*B23</f>
        <v>4.0000000000000002E-4</v>
      </c>
      <c r="C51" s="100" t="s">
        <v>182</v>
      </c>
      <c r="D51" s="86" t="s">
        <v>209</v>
      </c>
    </row>
    <row r="53" spans="1:6" x14ac:dyDescent="0.2">
      <c r="A53" s="86" t="s">
        <v>210</v>
      </c>
      <c r="B53" s="103">
        <f>B50*B15</f>
        <v>6.5000000000000002E-2</v>
      </c>
      <c r="C53" s="104" t="s">
        <v>182</v>
      </c>
    </row>
    <row r="55" spans="1:6" x14ac:dyDescent="0.2">
      <c r="C55" s="86" t="s">
        <v>211</v>
      </c>
    </row>
    <row r="58" spans="1:6" x14ac:dyDescent="0.2">
      <c r="A58" s="105" t="s">
        <v>212</v>
      </c>
      <c r="B58" s="105" t="s">
        <v>213</v>
      </c>
      <c r="C58" s="106" t="s">
        <v>214</v>
      </c>
      <c r="D58" s="86" t="s">
        <v>250</v>
      </c>
    </row>
    <row r="59" spans="1:6" x14ac:dyDescent="0.2">
      <c r="A59" s="86">
        <v>0</v>
      </c>
      <c r="B59" s="107">
        <f>A59*$B$53*($B$14*$B$17)</f>
        <v>0</v>
      </c>
      <c r="C59" s="108">
        <f>B59/$B$15</f>
        <v>0</v>
      </c>
    </row>
    <row r="60" spans="1:6" x14ac:dyDescent="0.2">
      <c r="A60" s="86">
        <v>9</v>
      </c>
      <c r="B60" s="107">
        <f t="shared" ref="B60:B62" si="0">A60*$B$53*($B$14*$B$17)</f>
        <v>0.58499999999999996</v>
      </c>
      <c r="C60" s="108">
        <f t="shared" ref="C60" si="1">B60/$B$15</f>
        <v>1.1699999999999999E-2</v>
      </c>
    </row>
    <row r="61" spans="1:6" x14ac:dyDescent="0.2">
      <c r="A61" s="86">
        <v>70</v>
      </c>
      <c r="B61" s="107">
        <f>A61*$B$53*($B$14*$B$17)</f>
        <v>4.55</v>
      </c>
      <c r="C61" s="108">
        <f>B61/$B$15</f>
        <v>9.0999999999999998E-2</v>
      </c>
    </row>
    <row r="62" spans="1:6" x14ac:dyDescent="0.2">
      <c r="A62" s="86">
        <v>150</v>
      </c>
      <c r="B62" s="107">
        <f t="shared" si="0"/>
        <v>9.75</v>
      </c>
      <c r="C62" s="108">
        <f>B62/$B$15</f>
        <v>0.19500000000000001</v>
      </c>
    </row>
    <row r="63" spans="1:6" x14ac:dyDescent="0.2">
      <c r="A63" s="86">
        <v>200</v>
      </c>
      <c r="B63" s="107">
        <f>A63*$B$53*($B$14*$B$17)</f>
        <v>13</v>
      </c>
      <c r="C63" s="108">
        <f>B63/$B$15</f>
        <v>0.26</v>
      </c>
      <c r="D63" s="86" t="s">
        <v>228</v>
      </c>
      <c r="E63" s="97">
        <f>C63-D49</f>
        <v>0.21000000000000002</v>
      </c>
      <c r="F63" s="86" t="s">
        <v>40</v>
      </c>
    </row>
    <row r="64" spans="1:6" x14ac:dyDescent="0.2">
      <c r="A64" s="86">
        <v>400</v>
      </c>
      <c r="B64" s="107">
        <f>A64*$B$53*($B$14*$B$17)</f>
        <v>26</v>
      </c>
      <c r="C64" s="108">
        <f t="shared" ref="C64:C68" si="2">B64/$B$15</f>
        <v>0.52</v>
      </c>
    </row>
    <row r="65" spans="1:6" x14ac:dyDescent="0.2">
      <c r="A65" s="86">
        <v>500</v>
      </c>
      <c r="B65" s="107">
        <f>A65*$B$53*($B$14*$B$17)</f>
        <v>32.5</v>
      </c>
      <c r="C65" s="108">
        <f>B65/$B$15</f>
        <v>0.65</v>
      </c>
      <c r="D65" s="86" t="s">
        <v>229</v>
      </c>
      <c r="E65" s="97">
        <f>C65-D49</f>
        <v>0.6</v>
      </c>
      <c r="F65" s="86" t="s">
        <v>40</v>
      </c>
    </row>
    <row r="66" spans="1:6" x14ac:dyDescent="0.2">
      <c r="A66" s="86">
        <v>600</v>
      </c>
      <c r="B66" s="107">
        <f>A66*$B$53*($B$14*$B$17)</f>
        <v>39</v>
      </c>
      <c r="C66" s="108">
        <f t="shared" si="2"/>
        <v>0.78</v>
      </c>
    </row>
    <row r="67" spans="1:6" x14ac:dyDescent="0.2">
      <c r="A67" s="86">
        <v>800</v>
      </c>
      <c r="B67" s="107">
        <f t="shared" ref="B67:B68" si="3">A67*$B$53*($B$14*$B$17)</f>
        <v>52</v>
      </c>
      <c r="C67" s="108">
        <f t="shared" si="2"/>
        <v>1.04</v>
      </c>
    </row>
    <row r="68" spans="1:6" x14ac:dyDescent="0.2">
      <c r="A68" s="86">
        <v>1000</v>
      </c>
      <c r="B68" s="107">
        <f t="shared" si="3"/>
        <v>65</v>
      </c>
      <c r="C68" s="108">
        <f t="shared" si="2"/>
        <v>1.3</v>
      </c>
    </row>
    <row r="74" spans="1:6" x14ac:dyDescent="0.2">
      <c r="A74" s="88" t="s">
        <v>258</v>
      </c>
    </row>
    <row r="75" spans="1:6" x14ac:dyDescent="0.2">
      <c r="A75" s="86" t="s">
        <v>257</v>
      </c>
      <c r="B75" s="86" t="s">
        <v>211</v>
      </c>
      <c r="D75" s="87"/>
    </row>
    <row r="76" spans="1:6" x14ac:dyDescent="0.2">
      <c r="D76" s="87"/>
    </row>
    <row r="77" spans="1:6" x14ac:dyDescent="0.2">
      <c r="A77" s="86" t="s">
        <v>256</v>
      </c>
      <c r="D77" s="87"/>
    </row>
    <row r="78" spans="1:6" x14ac:dyDescent="0.2">
      <c r="D78" s="87"/>
    </row>
    <row r="79" spans="1:6" x14ac:dyDescent="0.2">
      <c r="A79" s="86" t="s">
        <v>215</v>
      </c>
      <c r="B79" s="86" t="s">
        <v>216</v>
      </c>
      <c r="C79" s="87" t="s">
        <v>217</v>
      </c>
      <c r="D79" s="87"/>
    </row>
    <row r="80" spans="1:6" x14ac:dyDescent="0.2">
      <c r="A80" s="109">
        <v>0</v>
      </c>
      <c r="B80" s="109">
        <v>4.3460764587525097E-2</v>
      </c>
      <c r="C80" s="110">
        <f t="shared" ref="C80:C89" si="4">B80+C59</f>
        <v>4.3460764587525097E-2</v>
      </c>
      <c r="D80" s="87"/>
    </row>
    <row r="81" spans="1:4" x14ac:dyDescent="0.2">
      <c r="A81" s="109">
        <v>0.86330935251798502</v>
      </c>
      <c r="B81" s="109">
        <v>0.40563380281690098</v>
      </c>
      <c r="C81" s="110">
        <f t="shared" si="4"/>
        <v>0.41733380281690097</v>
      </c>
      <c r="D81" s="87"/>
    </row>
    <row r="82" spans="1:4" x14ac:dyDescent="0.2">
      <c r="A82" s="109">
        <v>6.9064748201438801</v>
      </c>
      <c r="B82" s="109">
        <v>0.67364185110663899</v>
      </c>
      <c r="C82" s="110">
        <f t="shared" si="4"/>
        <v>0.76464185110663896</v>
      </c>
      <c r="D82" s="87"/>
    </row>
    <row r="83" spans="1:4" x14ac:dyDescent="0.2">
      <c r="A83" s="109">
        <v>14.820143884892</v>
      </c>
      <c r="B83" s="109">
        <v>0.84265593561368202</v>
      </c>
      <c r="C83" s="110">
        <f t="shared" si="4"/>
        <v>1.0376559356136821</v>
      </c>
      <c r="D83" s="87"/>
    </row>
    <row r="84" spans="1:4" x14ac:dyDescent="0.2">
      <c r="A84" s="109">
        <v>20.143884892086302</v>
      </c>
      <c r="B84" s="109">
        <v>0.88370221327967802</v>
      </c>
      <c r="C84" s="110">
        <f t="shared" si="4"/>
        <v>1.1437022132796781</v>
      </c>
      <c r="D84" s="87"/>
    </row>
    <row r="85" spans="1:4" x14ac:dyDescent="0.2">
      <c r="A85" s="109">
        <v>39.568345323740999</v>
      </c>
      <c r="B85" s="109">
        <v>0.96338028169014001</v>
      </c>
      <c r="C85" s="110">
        <f t="shared" si="4"/>
        <v>1.48338028169014</v>
      </c>
      <c r="D85" s="87"/>
    </row>
    <row r="86" spans="1:4" x14ac:dyDescent="0.2">
      <c r="A86" s="109">
        <v>49.640287769784102</v>
      </c>
      <c r="B86" s="109">
        <v>1.0020120724346</v>
      </c>
      <c r="C86" s="110">
        <f t="shared" si="4"/>
        <v>1.6520120724346001</v>
      </c>
      <c r="D86" s="87"/>
    </row>
    <row r="87" spans="1:4" x14ac:dyDescent="0.2">
      <c r="A87" s="109">
        <v>59.424460431654602</v>
      </c>
      <c r="B87" s="109">
        <v>1.04064386317907</v>
      </c>
      <c r="C87" s="110">
        <f t="shared" si="4"/>
        <v>1.82064386317907</v>
      </c>
      <c r="D87" s="87"/>
    </row>
    <row r="88" spans="1:4" x14ac:dyDescent="0.2">
      <c r="A88" s="109">
        <v>80.719424460431597</v>
      </c>
      <c r="B88" s="109">
        <v>1.0985915492957701</v>
      </c>
      <c r="C88" s="110">
        <f t="shared" si="4"/>
        <v>2.1385915492957701</v>
      </c>
      <c r="D88" s="87"/>
    </row>
    <row r="89" spans="1:4" x14ac:dyDescent="0.2">
      <c r="A89" s="109">
        <v>99.424460431654595</v>
      </c>
      <c r="B89" s="109">
        <v>1.13963782696177</v>
      </c>
      <c r="C89" s="110">
        <f t="shared" si="4"/>
        <v>2.43963782696177</v>
      </c>
      <c r="D89" s="87"/>
    </row>
    <row r="90" spans="1:4" x14ac:dyDescent="0.2">
      <c r="C90" s="87"/>
      <c r="D90" s="87"/>
    </row>
    <row r="91" spans="1:4" x14ac:dyDescent="0.2">
      <c r="C91" s="87"/>
      <c r="D91" s="87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1048-E0C3-6A4B-857A-8DE6CA392465}">
  <dimension ref="A1:B4"/>
  <sheetViews>
    <sheetView workbookViewId="0">
      <selection activeCell="A5" sqref="A5"/>
    </sheetView>
  </sheetViews>
  <sheetFormatPr baseColWidth="10" defaultRowHeight="16" x14ac:dyDescent="0.2"/>
  <sheetData>
    <row r="1" spans="1:2" x14ac:dyDescent="0.2">
      <c r="A1">
        <v>1</v>
      </c>
      <c r="B1" s="111" t="s">
        <v>220</v>
      </c>
    </row>
    <row r="2" spans="1:2" x14ac:dyDescent="0.2">
      <c r="A2">
        <v>2</v>
      </c>
      <c r="B2" s="111" t="s">
        <v>221</v>
      </c>
    </row>
    <row r="3" spans="1:2" x14ac:dyDescent="0.2">
      <c r="A3">
        <v>3</v>
      </c>
      <c r="B3" s="114" t="s">
        <v>227</v>
      </c>
    </row>
    <row r="4" spans="1:2" x14ac:dyDescent="0.2">
      <c r="A4">
        <v>4</v>
      </c>
      <c r="B4" s="111" t="s">
        <v>253</v>
      </c>
    </row>
  </sheetData>
  <hyperlinks>
    <hyperlink ref="B1" r:id="rId1" xr:uid="{22500954-F5A1-004D-8A09-9FAB7EFC68CF}"/>
    <hyperlink ref="B2" r:id="rId2" xr:uid="{94C42611-5426-0648-91C3-B294153DA041}"/>
    <hyperlink ref="B3" r:id="rId3" xr:uid="{E364B214-A0BA-D946-90B8-D039853E5FDC}"/>
    <hyperlink ref="B4" r:id="rId4" xr:uid="{48F81716-1212-BF44-AB7B-C411BA64CB6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8D40-CF72-A542-B1F9-4A91F13E280F}">
  <dimension ref="A1:R11"/>
  <sheetViews>
    <sheetView topLeftCell="G1" zoomScale="140" zoomScaleNormal="140" workbookViewId="0">
      <selection activeCell="N17" sqref="N17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3.1640625" style="8" customWidth="1"/>
    <col min="7" max="8" width="13.1640625" style="1" customWidth="1"/>
    <col min="9" max="9" width="15.1640625" style="30" bestFit="1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23.33203125" style="45" customWidth="1"/>
    <col min="17" max="17" width="14.6640625" customWidth="1"/>
  </cols>
  <sheetData>
    <row r="1" spans="1:18" x14ac:dyDescent="0.2">
      <c r="A1" t="s">
        <v>51</v>
      </c>
    </row>
    <row r="2" spans="1:18" x14ac:dyDescent="0.2">
      <c r="A2" s="1">
        <v>500</v>
      </c>
      <c r="B2" s="27" t="s">
        <v>71</v>
      </c>
      <c r="N2" s="1">
        <v>1.2</v>
      </c>
      <c r="P2" s="1">
        <v>0.2</v>
      </c>
    </row>
    <row r="3" spans="1:18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77</v>
      </c>
      <c r="H3" s="32" t="s">
        <v>86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81</v>
      </c>
      <c r="N3" s="46" t="s">
        <v>60</v>
      </c>
      <c r="O3" s="49" t="s">
        <v>83</v>
      </c>
      <c r="P3" s="46" t="s">
        <v>75</v>
      </c>
      <c r="Q3" s="31" t="s">
        <v>66</v>
      </c>
      <c r="R3" s="31" t="s">
        <v>84</v>
      </c>
    </row>
    <row r="4" spans="1:18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43</v>
      </c>
      <c r="G4" s="32" t="s">
        <v>40</v>
      </c>
      <c r="H4" s="32" t="s">
        <v>38</v>
      </c>
      <c r="I4" s="33" t="s">
        <v>56</v>
      </c>
      <c r="J4" s="36" t="s">
        <v>58</v>
      </c>
      <c r="K4" s="36"/>
      <c r="L4" s="46" t="s">
        <v>64</v>
      </c>
      <c r="M4" s="49" t="s">
        <v>82</v>
      </c>
      <c r="N4" s="46"/>
      <c r="O4" s="49" t="s">
        <v>43</v>
      </c>
      <c r="P4" s="46"/>
      <c r="R4" s="31" t="s">
        <v>43</v>
      </c>
    </row>
    <row r="5" spans="1:18" s="42" customFormat="1" x14ac:dyDescent="0.2">
      <c r="A5" s="42">
        <v>0</v>
      </c>
      <c r="B5" s="27">
        <v>1</v>
      </c>
      <c r="C5" s="47">
        <f>$A$2*G5*8/I5</f>
        <v>2030.4568527918782</v>
      </c>
      <c r="D5" s="42">
        <v>0.3</v>
      </c>
      <c r="E5" s="45">
        <f>C5*D5*B5/1000</f>
        <v>0.6091370558375635</v>
      </c>
      <c r="F5" s="8">
        <f>E5*1000</f>
        <v>609.13705583756348</v>
      </c>
      <c r="G5" s="1">
        <v>2</v>
      </c>
      <c r="H5" s="1">
        <v>60</v>
      </c>
      <c r="I5" s="30">
        <v>3.94</v>
      </c>
      <c r="J5" s="42">
        <f>B5*1000000/I5</f>
        <v>253807.10659898477</v>
      </c>
      <c r="K5" s="42">
        <v>900</v>
      </c>
      <c r="L5" s="45">
        <f>J5*K5/1000000000</f>
        <v>0.22842639593908629</v>
      </c>
      <c r="M5" s="8">
        <f>L5*1000</f>
        <v>228.42639593908629</v>
      </c>
      <c r="N5" s="45">
        <v>0</v>
      </c>
      <c r="O5" s="8">
        <f>N5*1000</f>
        <v>0</v>
      </c>
      <c r="P5" s="45">
        <f>$P$2*L5*1000</f>
        <v>45.685279187817258</v>
      </c>
      <c r="Q5" s="42">
        <f>E5+L5+N5+P5/1000</f>
        <v>0.8832487309644671</v>
      </c>
      <c r="R5" s="42">
        <f>1000*Q5</f>
        <v>883.24873096446709</v>
      </c>
    </row>
    <row r="6" spans="1:18" s="42" customFormat="1" x14ac:dyDescent="0.2">
      <c r="A6" s="42">
        <v>5</v>
      </c>
      <c r="B6" s="27">
        <v>1</v>
      </c>
      <c r="C6" s="47">
        <f t="shared" ref="C6:C9" si="0">$A$2*G6*8/I6</f>
        <v>1695.6521739130435</v>
      </c>
      <c r="D6" s="42">
        <v>0.25</v>
      </c>
      <c r="E6" s="45">
        <f>C6*D6*B6/1000</f>
        <v>0.42391304347826086</v>
      </c>
      <c r="F6" s="8">
        <f t="shared" ref="F6:F9" si="1">E6*1000</f>
        <v>423.91304347826087</v>
      </c>
      <c r="G6" s="1">
        <v>1.95</v>
      </c>
      <c r="H6" s="1">
        <v>70</v>
      </c>
      <c r="I6" s="30">
        <v>4.5999999999999996</v>
      </c>
      <c r="J6" s="42">
        <f>B6*1000000/I6</f>
        <v>217391.30434782611</v>
      </c>
      <c r="K6" s="42">
        <v>800</v>
      </c>
      <c r="L6" s="45">
        <f>J6*K6/1000000000</f>
        <v>0.17391304347826086</v>
      </c>
      <c r="M6" s="8">
        <f t="shared" ref="M6:M9" si="2">L6*1000</f>
        <v>173.91304347826087</v>
      </c>
      <c r="N6" s="45">
        <f>$N$2*L5</f>
        <v>0.27411167512690354</v>
      </c>
      <c r="O6" s="8">
        <f t="shared" ref="O6:O9" si="3">N6*1000</f>
        <v>274.11167512690355</v>
      </c>
      <c r="P6" s="45">
        <f t="shared" ref="P6:P9" si="4">$P$2*L6*1000</f>
        <v>34.782608695652172</v>
      </c>
      <c r="Q6" s="42">
        <f t="shared" ref="Q6:Q9" si="5">E6+L6+N6+P6/1000</f>
        <v>0.90672037077907741</v>
      </c>
      <c r="R6" s="42">
        <f t="shared" ref="R6:R9" si="6">1000*Q6</f>
        <v>906.72037077907737</v>
      </c>
    </row>
    <row r="7" spans="1:18" s="42" customFormat="1" x14ac:dyDescent="0.2">
      <c r="A7" s="42">
        <v>10</v>
      </c>
      <c r="B7" s="27">
        <v>1</v>
      </c>
      <c r="C7" s="47">
        <f t="shared" si="0"/>
        <v>1447.6190476190477</v>
      </c>
      <c r="D7" s="42">
        <v>0.2</v>
      </c>
      <c r="E7" s="45">
        <f>C7*D7*B7/1000</f>
        <v>0.28952380952380957</v>
      </c>
      <c r="F7" s="8">
        <f t="shared" si="1"/>
        <v>289.52380952380958</v>
      </c>
      <c r="G7" s="1">
        <v>1.9</v>
      </c>
      <c r="H7" s="1">
        <v>80</v>
      </c>
      <c r="I7" s="50">
        <v>5.25</v>
      </c>
      <c r="J7" s="42">
        <f>B7*1000000/I7</f>
        <v>190476.19047619047</v>
      </c>
      <c r="K7" s="42">
        <v>700</v>
      </c>
      <c r="L7" s="45">
        <f>J7*K7/1000000000</f>
        <v>0.13333333333333333</v>
      </c>
      <c r="M7" s="8">
        <f t="shared" si="2"/>
        <v>133.33333333333334</v>
      </c>
      <c r="N7" s="45">
        <f>$N$2*L6</f>
        <v>0.20869565217391303</v>
      </c>
      <c r="O7" s="8">
        <f t="shared" si="3"/>
        <v>208.69565217391303</v>
      </c>
      <c r="P7" s="45">
        <f t="shared" si="4"/>
        <v>26.666666666666668</v>
      </c>
      <c r="Q7" s="42">
        <f t="shared" si="5"/>
        <v>0.65821946169772261</v>
      </c>
      <c r="R7" s="42">
        <f t="shared" si="6"/>
        <v>658.21946169772264</v>
      </c>
    </row>
    <row r="8" spans="1:18" s="42" customFormat="1" x14ac:dyDescent="0.2">
      <c r="A8" s="42">
        <v>15</v>
      </c>
      <c r="B8" s="27">
        <v>1</v>
      </c>
      <c r="C8" s="47">
        <f t="shared" si="0"/>
        <v>1252.1150592216582</v>
      </c>
      <c r="D8" s="42">
        <v>0.15</v>
      </c>
      <c r="E8" s="45">
        <f>C8*D8*B8/1000</f>
        <v>0.18781725888324871</v>
      </c>
      <c r="F8" s="8">
        <f t="shared" si="1"/>
        <v>187.81725888324871</v>
      </c>
      <c r="G8" s="1">
        <v>1.85</v>
      </c>
      <c r="H8" s="1">
        <v>90</v>
      </c>
      <c r="I8" s="30">
        <v>5.91</v>
      </c>
      <c r="J8" s="42">
        <f>B8*1000000/I8</f>
        <v>169204.7377326565</v>
      </c>
      <c r="K8" s="42">
        <v>600</v>
      </c>
      <c r="L8" s="45">
        <f t="shared" ref="L8:L9" si="7">J8*K8/1000000000</f>
        <v>0.10152284263959389</v>
      </c>
      <c r="M8" s="8">
        <f t="shared" si="2"/>
        <v>101.52284263959389</v>
      </c>
      <c r="N8" s="45">
        <f>$N$2*L7</f>
        <v>0.16</v>
      </c>
      <c r="O8" s="8">
        <f t="shared" si="3"/>
        <v>160</v>
      </c>
      <c r="P8" s="45">
        <f t="shared" si="4"/>
        <v>20.304568527918779</v>
      </c>
      <c r="Q8" s="42">
        <f t="shared" si="5"/>
        <v>0.46964467005076144</v>
      </c>
      <c r="R8" s="42">
        <f t="shared" si="6"/>
        <v>469.64467005076142</v>
      </c>
    </row>
    <row r="9" spans="1:18" s="42" customFormat="1" x14ac:dyDescent="0.2">
      <c r="A9" s="42">
        <v>20</v>
      </c>
      <c r="B9" s="27">
        <v>1</v>
      </c>
      <c r="C9" s="47">
        <f t="shared" si="0"/>
        <v>1153.8461538461538</v>
      </c>
      <c r="D9" s="42">
        <v>0.1</v>
      </c>
      <c r="E9" s="45">
        <f>C9*D9*B9/1000</f>
        <v>0.11538461538461539</v>
      </c>
      <c r="F9" s="8">
        <f t="shared" si="1"/>
        <v>115.38461538461539</v>
      </c>
      <c r="G9" s="1">
        <v>1.8</v>
      </c>
      <c r="H9" s="1">
        <v>95</v>
      </c>
      <c r="I9" s="30">
        <v>6.24</v>
      </c>
      <c r="J9" s="42">
        <f>B9*1000000/I9</f>
        <v>160256.41025641025</v>
      </c>
      <c r="K9" s="42">
        <v>600</v>
      </c>
      <c r="L9" s="45">
        <f t="shared" si="7"/>
        <v>9.6153846153846145E-2</v>
      </c>
      <c r="M9" s="8">
        <f t="shared" si="2"/>
        <v>96.153846153846146</v>
      </c>
      <c r="N9" s="45">
        <f>$N$2*L8</f>
        <v>0.12182741116751267</v>
      </c>
      <c r="O9" s="8">
        <f t="shared" si="3"/>
        <v>121.82741116751266</v>
      </c>
      <c r="P9" s="45">
        <f t="shared" si="4"/>
        <v>19.230769230769234</v>
      </c>
      <c r="Q9" s="42">
        <f t="shared" si="5"/>
        <v>0.35259664193674339</v>
      </c>
      <c r="R9" s="42">
        <f t="shared" si="6"/>
        <v>352.59664193674337</v>
      </c>
    </row>
    <row r="11" spans="1:18" x14ac:dyDescent="0.2">
      <c r="R11" s="42">
        <f>SUM(R5:R9)</f>
        <v>3270.4298754287715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2FDD-0033-E04A-B5AA-741BFAA0C5DF}">
  <dimension ref="A2:Q14"/>
  <sheetViews>
    <sheetView zoomScale="160" zoomScaleNormal="160" workbookViewId="0">
      <selection activeCell="L18" sqref="L18"/>
    </sheetView>
  </sheetViews>
  <sheetFormatPr baseColWidth="10" defaultRowHeight="16" x14ac:dyDescent="0.2"/>
  <cols>
    <col min="1" max="1" width="20.5" bestFit="1" customWidth="1"/>
    <col min="2" max="2" width="24.83203125" bestFit="1" customWidth="1"/>
    <col min="7" max="7" width="14.5" bestFit="1" customWidth="1"/>
    <col min="9" max="9" width="14.83203125" style="56" bestFit="1" customWidth="1"/>
    <col min="11" max="11" width="10.83203125" style="30"/>
    <col min="12" max="12" width="27.83203125" style="53" bestFit="1" customWidth="1"/>
    <col min="13" max="13" width="10.83203125" style="53"/>
  </cols>
  <sheetData>
    <row r="2" spans="1:17" x14ac:dyDescent="0.2">
      <c r="B2" s="1">
        <v>100</v>
      </c>
      <c r="C2" t="s">
        <v>38</v>
      </c>
    </row>
    <row r="3" spans="1:17" x14ac:dyDescent="0.2">
      <c r="A3" s="43"/>
      <c r="B3" s="43" t="s">
        <v>73</v>
      </c>
      <c r="C3" s="43" t="s">
        <v>73</v>
      </c>
      <c r="D3" s="43" t="s">
        <v>72</v>
      </c>
    </row>
    <row r="4" spans="1:17" s="15" customFormat="1" x14ac:dyDescent="0.2">
      <c r="A4" s="15" t="s">
        <v>69</v>
      </c>
      <c r="B4" s="15" t="s">
        <v>70</v>
      </c>
      <c r="C4" s="22" t="s">
        <v>39</v>
      </c>
      <c r="D4" s="15" t="s">
        <v>4</v>
      </c>
      <c r="I4" s="57" t="s">
        <v>100</v>
      </c>
      <c r="K4" s="51" t="s">
        <v>98</v>
      </c>
      <c r="L4" s="54"/>
      <c r="M4" s="54"/>
    </row>
    <row r="5" spans="1:17" x14ac:dyDescent="0.2">
      <c r="A5" t="s">
        <v>1</v>
      </c>
      <c r="B5" t="s">
        <v>88</v>
      </c>
      <c r="C5" t="s">
        <v>40</v>
      </c>
      <c r="G5" t="s">
        <v>87</v>
      </c>
      <c r="I5" s="56" t="s">
        <v>99</v>
      </c>
      <c r="K5" s="30" t="s">
        <v>92</v>
      </c>
    </row>
    <row r="6" spans="1:17" x14ac:dyDescent="0.2">
      <c r="G6" t="s">
        <v>91</v>
      </c>
      <c r="M6" s="53" t="s">
        <v>102</v>
      </c>
    </row>
    <row r="7" spans="1:17" x14ac:dyDescent="0.2">
      <c r="A7">
        <v>0</v>
      </c>
      <c r="B7">
        <f>$B$2/100*A7*44/1000000/96485*28800000</f>
        <v>0</v>
      </c>
      <c r="C7">
        <v>0</v>
      </c>
      <c r="D7" t="e">
        <f>C7*A7/1000*8000/B7</f>
        <v>#DIV/0!</v>
      </c>
      <c r="G7" s="26" t="s">
        <v>95</v>
      </c>
      <c r="H7" t="s">
        <v>96</v>
      </c>
      <c r="M7" s="53" t="s">
        <v>97</v>
      </c>
      <c r="O7" t="s">
        <v>101</v>
      </c>
      <c r="Q7" t="s">
        <v>103</v>
      </c>
    </row>
    <row r="8" spans="1:17" s="26" customFormat="1" x14ac:dyDescent="0.2">
      <c r="A8" s="26">
        <v>150</v>
      </c>
      <c r="B8">
        <f>$B$2/100*A8*44/1000000/96485*28800000</f>
        <v>1.9700471575892624</v>
      </c>
      <c r="C8" s="26">
        <v>1.1000000000000001</v>
      </c>
      <c r="D8">
        <f>C8*A8/1000*8000/B8</f>
        <v>670.03472222222229</v>
      </c>
      <c r="E8" s="26">
        <f>1*B8</f>
        <v>1.9700471575892624</v>
      </c>
      <c r="F8" s="26" t="s">
        <v>89</v>
      </c>
      <c r="G8" s="26">
        <f>((E8*1000000/44)/(8000*3600))</f>
        <v>1.5546457998652638E-3</v>
      </c>
      <c r="H8" s="26">
        <f>G8/(20/60)</f>
        <v>4.6639373995957913E-3</v>
      </c>
      <c r="I8" s="56">
        <f>K8*H8</f>
        <v>2.3319686997978956E-2</v>
      </c>
      <c r="J8" s="26" t="s">
        <v>94</v>
      </c>
      <c r="K8" s="30">
        <v>5</v>
      </c>
      <c r="L8" s="55" t="s">
        <v>93</v>
      </c>
      <c r="M8" s="55">
        <f>2/I8</f>
        <v>85.764444444444464</v>
      </c>
      <c r="O8" s="26">
        <v>50</v>
      </c>
      <c r="P8" s="26">
        <f>I8*O8</f>
        <v>1.1659843498989477</v>
      </c>
      <c r="Q8" s="26" t="s">
        <v>90</v>
      </c>
    </row>
    <row r="9" spans="1:17" x14ac:dyDescent="0.2">
      <c r="A9">
        <v>200</v>
      </c>
      <c r="B9">
        <f>$B$2/100*A9*44/1000000/96485*28800000</f>
        <v>2.6267295434523503</v>
      </c>
      <c r="C9">
        <v>1.4</v>
      </c>
      <c r="D9">
        <f>C9*A9/1000*8000/B9</f>
        <v>852.77146464646455</v>
      </c>
      <c r="E9" s="26">
        <f t="shared" ref="E9:E14" si="0">1*B9</f>
        <v>2.6267295434523503</v>
      </c>
      <c r="G9" s="26">
        <f t="shared" ref="G9:G14" si="1">((E9*1000000/44)/(8000*3600))</f>
        <v>2.0728610664870191E-3</v>
      </c>
      <c r="H9" s="26">
        <f t="shared" ref="H9:H14" si="2">G9/(20/60)</f>
        <v>6.2185831994610577E-3</v>
      </c>
      <c r="I9" s="56">
        <f t="shared" ref="I9:I13" si="3">K9*H9</f>
        <v>4.6639373995957932E-2</v>
      </c>
      <c r="J9" t="s">
        <v>94</v>
      </c>
      <c r="K9" s="30">
        <f>K8+K8*0.5</f>
        <v>7.5</v>
      </c>
      <c r="M9" s="55">
        <f t="shared" ref="M9:M14" si="4">2/I9</f>
        <v>42.882222222222211</v>
      </c>
      <c r="O9">
        <v>50</v>
      </c>
      <c r="P9" s="26">
        <f t="shared" ref="P9:P14" si="5">I9*O9</f>
        <v>2.3319686997978968</v>
      </c>
    </row>
    <row r="10" spans="1:17" x14ac:dyDescent="0.2">
      <c r="A10">
        <v>400</v>
      </c>
      <c r="B10">
        <f t="shared" ref="B10:B14" si="6">$B$2/100*A10*44/1000000/96485*28800000</f>
        <v>5.2534590869047006</v>
      </c>
      <c r="C10">
        <v>1.8</v>
      </c>
      <c r="D10">
        <f t="shared" ref="D10:D14" si="7">C10*A10/1000*8000/B10</f>
        <v>1096.4204545454545</v>
      </c>
      <c r="E10" s="26">
        <f t="shared" si="0"/>
        <v>5.2534590869047006</v>
      </c>
      <c r="G10" s="26">
        <f t="shared" si="1"/>
        <v>4.1457221329740382E-3</v>
      </c>
      <c r="H10" s="26">
        <f t="shared" si="2"/>
        <v>1.2437166398922115E-2</v>
      </c>
      <c r="I10" s="56">
        <f t="shared" si="3"/>
        <v>0.13991812198787379</v>
      </c>
      <c r="K10" s="30">
        <f t="shared" ref="K10:K14" si="8">K9+K9*0.5</f>
        <v>11.25</v>
      </c>
      <c r="M10" s="55">
        <f t="shared" si="4"/>
        <v>14.294074074074071</v>
      </c>
      <c r="O10">
        <v>50</v>
      </c>
      <c r="P10" s="26">
        <f t="shared" si="5"/>
        <v>6.9959060993936895</v>
      </c>
    </row>
    <row r="11" spans="1:17" s="26" customFormat="1" x14ac:dyDescent="0.2">
      <c r="A11" s="26">
        <v>500</v>
      </c>
      <c r="B11" s="26">
        <f t="shared" si="6"/>
        <v>6.5668238586308751</v>
      </c>
      <c r="C11" s="26">
        <v>1.9</v>
      </c>
      <c r="D11" s="26">
        <f>C11*A11/1000*8000/B11</f>
        <v>1157.3327020202021</v>
      </c>
      <c r="E11" s="26">
        <f t="shared" si="0"/>
        <v>6.5668238586308751</v>
      </c>
      <c r="G11" s="26">
        <f t="shared" si="1"/>
        <v>5.182152666217547E-3</v>
      </c>
      <c r="H11" s="26">
        <f t="shared" si="2"/>
        <v>1.5546457998652641E-2</v>
      </c>
      <c r="I11" s="56">
        <f t="shared" si="3"/>
        <v>0.2623464787272633</v>
      </c>
      <c r="K11" s="30">
        <f t="shared" si="8"/>
        <v>16.875</v>
      </c>
      <c r="L11" s="55"/>
      <c r="M11" s="55">
        <f t="shared" si="4"/>
        <v>7.6235061728395062</v>
      </c>
      <c r="O11" s="52">
        <v>5</v>
      </c>
      <c r="P11" s="26">
        <f t="shared" si="5"/>
        <v>1.3117323936363166</v>
      </c>
    </row>
    <row r="12" spans="1:17" x14ac:dyDescent="0.2">
      <c r="A12">
        <v>600</v>
      </c>
      <c r="B12">
        <f t="shared" si="6"/>
        <v>7.8801886303570496</v>
      </c>
      <c r="C12">
        <v>2</v>
      </c>
      <c r="D12">
        <f>C12*A12/1000*8000/B12</f>
        <v>1218.2449494949497</v>
      </c>
      <c r="E12" s="26">
        <f t="shared" si="0"/>
        <v>7.8801886303570496</v>
      </c>
      <c r="G12" s="26">
        <f t="shared" si="1"/>
        <v>6.2185831994610551E-3</v>
      </c>
      <c r="H12" s="26">
        <f t="shared" si="2"/>
        <v>1.8655749598383165E-2</v>
      </c>
      <c r="I12" s="56">
        <f t="shared" si="3"/>
        <v>0.47222366170907387</v>
      </c>
      <c r="K12" s="30">
        <f t="shared" si="8"/>
        <v>25.3125</v>
      </c>
      <c r="M12" s="55">
        <f t="shared" si="4"/>
        <v>4.2352812071330597</v>
      </c>
      <c r="O12">
        <v>50</v>
      </c>
      <c r="P12" s="26">
        <f t="shared" si="5"/>
        <v>23.611183085453693</v>
      </c>
    </row>
    <row r="13" spans="1:17" x14ac:dyDescent="0.2">
      <c r="A13">
        <v>800</v>
      </c>
      <c r="B13">
        <f t="shared" si="6"/>
        <v>10.506918173809401</v>
      </c>
      <c r="C13">
        <v>2.15</v>
      </c>
      <c r="D13">
        <f t="shared" si="7"/>
        <v>1309.6133207070707</v>
      </c>
      <c r="E13" s="26">
        <f t="shared" si="0"/>
        <v>10.506918173809401</v>
      </c>
      <c r="G13" s="26">
        <f t="shared" si="1"/>
        <v>8.2914442659480763E-3</v>
      </c>
      <c r="H13" s="26">
        <f t="shared" si="2"/>
        <v>2.4874332797844231E-2</v>
      </c>
      <c r="I13" s="56">
        <f t="shared" si="3"/>
        <v>0.94444732341814819</v>
      </c>
      <c r="K13" s="30">
        <f t="shared" si="8"/>
        <v>37.96875</v>
      </c>
      <c r="M13" s="55">
        <f t="shared" si="4"/>
        <v>2.1176406035665289</v>
      </c>
      <c r="O13">
        <v>50</v>
      </c>
      <c r="P13" s="26">
        <f t="shared" si="5"/>
        <v>47.222366170907407</v>
      </c>
    </row>
    <row r="14" spans="1:17" x14ac:dyDescent="0.2">
      <c r="A14">
        <v>1000</v>
      </c>
      <c r="B14">
        <f t="shared" si="6"/>
        <v>13.13364771726175</v>
      </c>
      <c r="C14">
        <v>2.2999999999999998</v>
      </c>
      <c r="D14">
        <f t="shared" si="7"/>
        <v>1400.9816919191919</v>
      </c>
      <c r="E14" s="26">
        <f t="shared" si="0"/>
        <v>13.13364771726175</v>
      </c>
      <c r="G14" s="26">
        <f t="shared" si="1"/>
        <v>1.0364305332435094E-2</v>
      </c>
      <c r="H14" s="26">
        <f t="shared" si="2"/>
        <v>3.1092915997305282E-2</v>
      </c>
      <c r="I14" s="56">
        <f>K14*H14</f>
        <v>1.7708387314090275</v>
      </c>
      <c r="K14" s="30">
        <f t="shared" si="8"/>
        <v>56.953125</v>
      </c>
      <c r="M14" s="55">
        <f t="shared" si="4"/>
        <v>1.1294083219021489</v>
      </c>
      <c r="O14">
        <v>50</v>
      </c>
      <c r="P14" s="26">
        <f t="shared" si="5"/>
        <v>88.541936570451369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E120-19C5-DF44-BFDB-BBCA1BEB8382}">
  <dimension ref="A1:Q11"/>
  <sheetViews>
    <sheetView zoomScale="140" zoomScaleNormal="140" workbookViewId="0">
      <selection activeCell="A23" sqref="A23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6.33203125" style="8" bestFit="1" customWidth="1"/>
    <col min="7" max="8" width="13.1640625" style="1" customWidth="1"/>
    <col min="9" max="9" width="11.83203125" style="30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14.6640625" customWidth="1"/>
    <col min="17" max="17" width="12.83203125" bestFit="1" customWidth="1"/>
  </cols>
  <sheetData>
    <row r="1" spans="1:17" x14ac:dyDescent="0.2">
      <c r="A1" t="s">
        <v>51</v>
      </c>
    </row>
    <row r="2" spans="1:17" x14ac:dyDescent="0.2">
      <c r="A2" s="1">
        <v>200</v>
      </c>
      <c r="B2" s="27" t="s">
        <v>71</v>
      </c>
      <c r="N2" s="1">
        <v>0.6</v>
      </c>
    </row>
    <row r="3" spans="1:17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39</v>
      </c>
      <c r="H3" s="32" t="s">
        <v>85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54</v>
      </c>
      <c r="N3" s="46" t="s">
        <v>60</v>
      </c>
      <c r="O3" s="49" t="s">
        <v>80</v>
      </c>
      <c r="P3" s="31" t="s">
        <v>66</v>
      </c>
      <c r="Q3" s="31" t="s">
        <v>78</v>
      </c>
    </row>
    <row r="4" spans="1:17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79</v>
      </c>
      <c r="G4" s="32" t="s">
        <v>40</v>
      </c>
      <c r="H4" s="32"/>
      <c r="I4" s="33" t="s">
        <v>76</v>
      </c>
      <c r="J4" s="36" t="s">
        <v>58</v>
      </c>
      <c r="K4" s="36"/>
      <c r="L4" s="46" t="s">
        <v>64</v>
      </c>
      <c r="M4" s="49" t="s">
        <v>43</v>
      </c>
      <c r="N4" s="46"/>
      <c r="O4" s="49" t="s">
        <v>43</v>
      </c>
      <c r="Q4" s="31" t="s">
        <v>43</v>
      </c>
    </row>
    <row r="5" spans="1:17" s="42" customFormat="1" x14ac:dyDescent="0.2">
      <c r="A5" s="42">
        <v>0</v>
      </c>
      <c r="B5" s="27">
        <v>1</v>
      </c>
      <c r="C5" s="47">
        <f>$A$2*G5*8/I5</f>
        <v>1522.8426395939086</v>
      </c>
      <c r="D5" s="42">
        <v>0.3</v>
      </c>
      <c r="E5" s="45">
        <f>C5*D5*B5/1000</f>
        <v>0.45685279187817257</v>
      </c>
      <c r="F5" s="8">
        <f>E5*1000</f>
        <v>456.85279187817258</v>
      </c>
      <c r="G5" s="1">
        <v>1.5</v>
      </c>
      <c r="H5" s="1">
        <v>60</v>
      </c>
      <c r="I5" s="30">
        <v>1.5760000000000001</v>
      </c>
      <c r="J5" s="42">
        <f>B5*1000000/I5</f>
        <v>634517.76649746194</v>
      </c>
      <c r="K5" s="42">
        <v>900</v>
      </c>
      <c r="L5" s="45">
        <f>J5*K5/1000000000</f>
        <v>0.57106598984771573</v>
      </c>
      <c r="M5" s="8">
        <f>L5*1000</f>
        <v>571.06598984771574</v>
      </c>
      <c r="N5" s="45"/>
      <c r="O5" s="8">
        <f>N5*1000</f>
        <v>0</v>
      </c>
      <c r="P5" s="42">
        <f>E5+L5+N5</f>
        <v>1.0279187817258884</v>
      </c>
      <c r="Q5" s="42">
        <f>P5/1000000*1000000000</f>
        <v>1027.9187817258883</v>
      </c>
    </row>
    <row r="6" spans="1:17" s="42" customFormat="1" x14ac:dyDescent="0.2">
      <c r="A6" s="42">
        <v>5</v>
      </c>
      <c r="B6" s="27">
        <v>1</v>
      </c>
      <c r="C6" s="47">
        <f>$A$2*G6*8/I6</f>
        <v>1260.8695652173913</v>
      </c>
      <c r="D6" s="42">
        <v>0.25</v>
      </c>
      <c r="E6" s="45">
        <f>C6*D6*B6/1000</f>
        <v>0.31521739130434784</v>
      </c>
      <c r="F6" s="8">
        <f t="shared" ref="F6:F9" si="0">E6*1000</f>
        <v>315.21739130434781</v>
      </c>
      <c r="G6" s="1">
        <v>1.45</v>
      </c>
      <c r="H6" s="1">
        <v>70</v>
      </c>
      <c r="I6" s="30">
        <v>1.84</v>
      </c>
      <c r="J6" s="42">
        <f>B6*1000000/I6</f>
        <v>543478.26086956519</v>
      </c>
      <c r="K6" s="42">
        <v>800</v>
      </c>
      <c r="L6" s="45">
        <f>J6*K6/1000000000</f>
        <v>0.43478260869565211</v>
      </c>
      <c r="M6" s="8">
        <f t="shared" ref="M6:M9" si="1">L6*1000</f>
        <v>434.78260869565213</v>
      </c>
      <c r="N6" s="45">
        <f>$N$2*L5</f>
        <v>0.34263959390862941</v>
      </c>
      <c r="O6" s="8">
        <f t="shared" ref="O6:O9" si="2">N6*1000</f>
        <v>342.63959390862942</v>
      </c>
      <c r="P6" s="42">
        <f>E6+L6+N6</f>
        <v>1.0926395939086295</v>
      </c>
      <c r="Q6" s="42">
        <f t="shared" ref="Q6:Q9" si="3">P6/1000000*1000000000</f>
        <v>1092.6395939086294</v>
      </c>
    </row>
    <row r="7" spans="1:17" s="42" customFormat="1" x14ac:dyDescent="0.2">
      <c r="A7" s="42">
        <v>10</v>
      </c>
      <c r="B7" s="27">
        <v>1</v>
      </c>
      <c r="C7" s="47">
        <f>$A$2*G7*8/I7</f>
        <v>1066.6666666666665</v>
      </c>
      <c r="D7" s="42">
        <v>0.2</v>
      </c>
      <c r="E7" s="45">
        <f>C7*D7*B7/1000</f>
        <v>0.21333333333333332</v>
      </c>
      <c r="F7" s="8">
        <f t="shared" si="0"/>
        <v>213.33333333333331</v>
      </c>
      <c r="G7" s="1">
        <v>1.4</v>
      </c>
      <c r="H7" s="1">
        <v>80</v>
      </c>
      <c r="I7" s="50">
        <v>2.1</v>
      </c>
      <c r="J7" s="42">
        <f>B7*1000000/I7</f>
        <v>476190.47619047615</v>
      </c>
      <c r="K7" s="42">
        <v>700</v>
      </c>
      <c r="L7" s="45">
        <f>J7*K7/1000000000</f>
        <v>0.33333333333333331</v>
      </c>
      <c r="M7" s="8">
        <f t="shared" si="1"/>
        <v>333.33333333333331</v>
      </c>
      <c r="N7" s="45">
        <f t="shared" ref="N7:N9" si="4">$N$2*L6</f>
        <v>0.26086956521739124</v>
      </c>
      <c r="O7" s="8">
        <f t="shared" si="2"/>
        <v>260.86956521739125</v>
      </c>
      <c r="P7" s="42">
        <f>E7+L7+N7</f>
        <v>0.80753623188405788</v>
      </c>
      <c r="Q7" s="42">
        <f t="shared" si="3"/>
        <v>807.53623188405788</v>
      </c>
    </row>
    <row r="8" spans="1:17" s="42" customFormat="1" x14ac:dyDescent="0.2">
      <c r="A8" s="42">
        <v>15</v>
      </c>
      <c r="B8" s="27">
        <v>1</v>
      </c>
      <c r="C8" s="47">
        <f>$A$2*G8*8/I8</f>
        <v>915.25423728813564</v>
      </c>
      <c r="D8" s="42">
        <v>0.15</v>
      </c>
      <c r="E8" s="45">
        <f>C8*D8*B8/1000</f>
        <v>0.13728813559322034</v>
      </c>
      <c r="F8" s="8">
        <f t="shared" si="0"/>
        <v>137.28813559322035</v>
      </c>
      <c r="G8" s="1">
        <v>1.35</v>
      </c>
      <c r="H8" s="1">
        <v>90</v>
      </c>
      <c r="I8" s="30">
        <v>2.36</v>
      </c>
      <c r="J8" s="42">
        <f>B8*1000000/I8</f>
        <v>423728.81355932204</v>
      </c>
      <c r="K8" s="42">
        <v>600</v>
      </c>
      <c r="L8" s="45">
        <f t="shared" ref="L8:L9" si="5">J8*K8/1000000000</f>
        <v>0.25423728813559321</v>
      </c>
      <c r="M8" s="8">
        <f t="shared" si="1"/>
        <v>254.23728813559322</v>
      </c>
      <c r="N8" s="45">
        <f t="shared" si="4"/>
        <v>0.19999999999999998</v>
      </c>
      <c r="O8" s="8">
        <f t="shared" si="2"/>
        <v>199.99999999999997</v>
      </c>
      <c r="P8" s="42">
        <f>E8+L8+N8</f>
        <v>0.59152542372881356</v>
      </c>
      <c r="Q8" s="42">
        <f t="shared" si="3"/>
        <v>591.52542372881362</v>
      </c>
    </row>
    <row r="9" spans="1:17" s="42" customFormat="1" x14ac:dyDescent="0.2">
      <c r="A9" s="42">
        <v>20</v>
      </c>
      <c r="B9" s="27">
        <v>1</v>
      </c>
      <c r="C9" s="47">
        <f>$A$2*G9*8/I9</f>
        <v>835.34136546184732</v>
      </c>
      <c r="D9" s="42">
        <v>0.1</v>
      </c>
      <c r="E9" s="45">
        <f>C9*D9*B9/1000</f>
        <v>8.3534136546184745E-2</v>
      </c>
      <c r="F9" s="8">
        <f t="shared" si="0"/>
        <v>83.53413654618474</v>
      </c>
      <c r="G9" s="1">
        <v>1.3</v>
      </c>
      <c r="H9" s="1">
        <v>95</v>
      </c>
      <c r="I9" s="30">
        <v>2.4900000000000002</v>
      </c>
      <c r="J9" s="42">
        <f>B9*1000000/I9</f>
        <v>401606.42570281122</v>
      </c>
      <c r="K9" s="42">
        <v>600</v>
      </c>
      <c r="L9" s="45">
        <f t="shared" si="5"/>
        <v>0.24096385542168675</v>
      </c>
      <c r="M9" s="8">
        <f t="shared" si="1"/>
        <v>240.96385542168676</v>
      </c>
      <c r="N9" s="45">
        <f t="shared" si="4"/>
        <v>0.15254237288135591</v>
      </c>
      <c r="O9" s="8">
        <f t="shared" si="2"/>
        <v>152.5423728813559</v>
      </c>
      <c r="P9" s="42">
        <f>E9+L9+N9</f>
        <v>0.47704036484922741</v>
      </c>
      <c r="Q9" s="42">
        <f t="shared" si="3"/>
        <v>477.04036484922744</v>
      </c>
    </row>
    <row r="11" spans="1:17" x14ac:dyDescent="0.2">
      <c r="Q11" s="42">
        <f>SUM(Q5:Q9)</f>
        <v>3996.6603960966168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5329-F932-4F4E-B8F2-0818D87DEF78}">
  <dimension ref="A1:R11"/>
  <sheetViews>
    <sheetView topLeftCell="F1" zoomScale="140" zoomScaleNormal="140" workbookViewId="0">
      <selection activeCell="B16" sqref="B16"/>
    </sheetView>
  </sheetViews>
  <sheetFormatPr baseColWidth="10" defaultRowHeight="16" x14ac:dyDescent="0.2"/>
  <cols>
    <col min="1" max="1" width="27.5" bestFit="1" customWidth="1"/>
    <col min="2" max="2" width="17.5" style="27" bestFit="1" customWidth="1"/>
    <col min="3" max="3" width="20.6640625" style="47" bestFit="1" customWidth="1"/>
    <col min="4" max="4" width="14.1640625" bestFit="1" customWidth="1"/>
    <col min="5" max="5" width="13.1640625" style="45" customWidth="1"/>
    <col min="6" max="6" width="13.1640625" style="8" customWidth="1"/>
    <col min="7" max="8" width="13.1640625" style="1" customWidth="1"/>
    <col min="9" max="9" width="15.1640625" style="30" bestFit="1" customWidth="1"/>
    <col min="10" max="11" width="13.1640625" style="35" customWidth="1"/>
    <col min="12" max="12" width="22.33203125" style="45" bestFit="1" customWidth="1"/>
    <col min="13" max="13" width="22.33203125" style="8" customWidth="1"/>
    <col min="14" max="14" width="23.33203125" style="45" customWidth="1"/>
    <col min="15" max="15" width="23.33203125" style="8" customWidth="1"/>
    <col min="16" max="16" width="23.33203125" style="45" customWidth="1"/>
    <col min="17" max="17" width="14.6640625" customWidth="1"/>
  </cols>
  <sheetData>
    <row r="1" spans="1:18" x14ac:dyDescent="0.2">
      <c r="A1" t="s">
        <v>51</v>
      </c>
    </row>
    <row r="2" spans="1:18" x14ac:dyDescent="0.2">
      <c r="A2" s="1">
        <v>500</v>
      </c>
      <c r="B2" s="27" t="s">
        <v>71</v>
      </c>
      <c r="N2" s="1">
        <v>1.2</v>
      </c>
      <c r="P2" s="1">
        <v>0.2</v>
      </c>
    </row>
    <row r="3" spans="1:18" s="31" customFormat="1" x14ac:dyDescent="0.2">
      <c r="A3" s="31" t="s">
        <v>74</v>
      </c>
      <c r="B3" s="44" t="s">
        <v>68</v>
      </c>
      <c r="C3" s="48" t="s">
        <v>61</v>
      </c>
      <c r="D3" s="31" t="s">
        <v>47</v>
      </c>
      <c r="E3" s="46" t="s">
        <v>50</v>
      </c>
      <c r="F3" s="49" t="s">
        <v>49</v>
      </c>
      <c r="G3" s="32" t="s">
        <v>77</v>
      </c>
      <c r="H3" s="32" t="s">
        <v>86</v>
      </c>
      <c r="I3" s="33" t="s">
        <v>57</v>
      </c>
      <c r="J3" s="36" t="s">
        <v>55</v>
      </c>
      <c r="K3" s="36" t="s">
        <v>59</v>
      </c>
      <c r="L3" s="46" t="s">
        <v>54</v>
      </c>
      <c r="M3" s="49" t="s">
        <v>81</v>
      </c>
      <c r="N3" s="46" t="s">
        <v>60</v>
      </c>
      <c r="O3" s="49" t="s">
        <v>83</v>
      </c>
      <c r="P3" s="46" t="s">
        <v>75</v>
      </c>
      <c r="Q3" s="31" t="s">
        <v>66</v>
      </c>
      <c r="R3" s="31" t="s">
        <v>84</v>
      </c>
    </row>
    <row r="4" spans="1:18" s="31" customFormat="1" x14ac:dyDescent="0.2">
      <c r="A4" s="31" t="s">
        <v>22</v>
      </c>
      <c r="B4" s="44" t="s">
        <v>52</v>
      </c>
      <c r="C4" s="48" t="s">
        <v>4</v>
      </c>
      <c r="D4" s="31" t="s">
        <v>24</v>
      </c>
      <c r="E4" s="46" t="s">
        <v>53</v>
      </c>
      <c r="F4" s="49" t="s">
        <v>43</v>
      </c>
      <c r="G4" s="32" t="s">
        <v>40</v>
      </c>
      <c r="H4" s="32" t="s">
        <v>38</v>
      </c>
      <c r="I4" s="33" t="s">
        <v>56</v>
      </c>
      <c r="J4" s="36" t="s">
        <v>58</v>
      </c>
      <c r="K4" s="36"/>
      <c r="L4" s="46" t="s">
        <v>64</v>
      </c>
      <c r="M4" s="49" t="s">
        <v>82</v>
      </c>
      <c r="N4" s="46"/>
      <c r="O4" s="49" t="s">
        <v>43</v>
      </c>
      <c r="P4" s="46"/>
      <c r="R4" s="31" t="s">
        <v>43</v>
      </c>
    </row>
    <row r="5" spans="1:18" s="42" customFormat="1" x14ac:dyDescent="0.2">
      <c r="A5" s="42">
        <v>0</v>
      </c>
      <c r="B5" s="27">
        <v>1</v>
      </c>
      <c r="C5" s="47">
        <f>$A$2*G5*8/I5</f>
        <v>2030.4568527918782</v>
      </c>
      <c r="D5" s="42">
        <v>0.3</v>
      </c>
      <c r="E5" s="45">
        <f>C5*D5*B5/1000</f>
        <v>0.6091370558375635</v>
      </c>
      <c r="F5" s="8">
        <f>E5*1000</f>
        <v>609.13705583756348</v>
      </c>
      <c r="G5" s="1">
        <v>2</v>
      </c>
      <c r="H5" s="1">
        <v>60</v>
      </c>
      <c r="I5" s="30">
        <v>3.94</v>
      </c>
      <c r="J5" s="42">
        <f>B5*1000000/I5</f>
        <v>253807.10659898477</v>
      </c>
      <c r="K5" s="42">
        <v>900</v>
      </c>
      <c r="L5" s="45">
        <f>J5*K5/1000000000</f>
        <v>0.22842639593908629</v>
      </c>
      <c r="M5" s="8">
        <f>L5*1000</f>
        <v>228.42639593908629</v>
      </c>
      <c r="N5" s="45">
        <v>0</v>
      </c>
      <c r="O5" s="8">
        <f>N5*1000</f>
        <v>0</v>
      </c>
      <c r="P5" s="45">
        <f>$P$2*L5*1000</f>
        <v>45.685279187817258</v>
      </c>
      <c r="Q5" s="42">
        <f>E5+L5+N5+P5/1000</f>
        <v>0.8832487309644671</v>
      </c>
      <c r="R5" s="42">
        <f>1000*Q5</f>
        <v>883.24873096446709</v>
      </c>
    </row>
    <row r="6" spans="1:18" s="42" customFormat="1" x14ac:dyDescent="0.2">
      <c r="A6" s="42">
        <v>5</v>
      </c>
      <c r="B6" s="27">
        <v>1</v>
      </c>
      <c r="C6" s="47">
        <f t="shared" ref="C6:C9" si="0">$A$2*G6*8/I6</f>
        <v>1695.6521739130435</v>
      </c>
      <c r="D6" s="42">
        <v>0.25</v>
      </c>
      <c r="E6" s="45">
        <f>C6*D6*B6/1000</f>
        <v>0.42391304347826086</v>
      </c>
      <c r="F6" s="8">
        <f t="shared" ref="F6:F9" si="1">E6*1000</f>
        <v>423.91304347826087</v>
      </c>
      <c r="G6" s="1">
        <v>1.95</v>
      </c>
      <c r="H6" s="1">
        <v>70</v>
      </c>
      <c r="I6" s="30">
        <v>4.5999999999999996</v>
      </c>
      <c r="J6" s="42">
        <f>B6*1000000/I6</f>
        <v>217391.30434782611</v>
      </c>
      <c r="K6" s="42">
        <v>800</v>
      </c>
      <c r="L6" s="45">
        <f>J6*K6/1000000000</f>
        <v>0.17391304347826086</v>
      </c>
      <c r="M6" s="8">
        <f t="shared" ref="M6:M9" si="2">L6*1000</f>
        <v>173.91304347826087</v>
      </c>
      <c r="N6" s="45">
        <f>$N$2*L5</f>
        <v>0.27411167512690354</v>
      </c>
      <c r="O6" s="8">
        <f t="shared" ref="O6:O9" si="3">N6*1000</f>
        <v>274.11167512690355</v>
      </c>
      <c r="P6" s="45">
        <f t="shared" ref="P6:P9" si="4">$P$2*L6*1000</f>
        <v>34.782608695652172</v>
      </c>
      <c r="Q6" s="42">
        <f t="shared" ref="Q6:Q9" si="5">E6+L6+N6+P6/1000</f>
        <v>0.90672037077907741</v>
      </c>
      <c r="R6" s="42">
        <f t="shared" ref="R6:R9" si="6">1000*Q6</f>
        <v>906.72037077907737</v>
      </c>
    </row>
    <row r="7" spans="1:18" s="42" customFormat="1" x14ac:dyDescent="0.2">
      <c r="A7" s="42">
        <v>10</v>
      </c>
      <c r="B7" s="27">
        <v>1</v>
      </c>
      <c r="C7" s="47">
        <f t="shared" si="0"/>
        <v>1447.6190476190477</v>
      </c>
      <c r="D7" s="42">
        <v>0.2</v>
      </c>
      <c r="E7" s="45">
        <f>C7*D7*B7/1000</f>
        <v>0.28952380952380957</v>
      </c>
      <c r="F7" s="8">
        <f t="shared" si="1"/>
        <v>289.52380952380958</v>
      </c>
      <c r="G7" s="1">
        <v>1.9</v>
      </c>
      <c r="H7" s="1">
        <v>80</v>
      </c>
      <c r="I7" s="50">
        <v>5.25</v>
      </c>
      <c r="J7" s="42">
        <f>B7*1000000/I7</f>
        <v>190476.19047619047</v>
      </c>
      <c r="K7" s="42">
        <v>700</v>
      </c>
      <c r="L7" s="45">
        <f>J7*K7/1000000000</f>
        <v>0.13333333333333333</v>
      </c>
      <c r="M7" s="8">
        <f t="shared" si="2"/>
        <v>133.33333333333334</v>
      </c>
      <c r="N7" s="45">
        <f>$N$2*L6</f>
        <v>0.20869565217391303</v>
      </c>
      <c r="O7" s="8">
        <f t="shared" si="3"/>
        <v>208.69565217391303</v>
      </c>
      <c r="P7" s="45">
        <f t="shared" si="4"/>
        <v>26.666666666666668</v>
      </c>
      <c r="Q7" s="42">
        <f t="shared" si="5"/>
        <v>0.65821946169772261</v>
      </c>
      <c r="R7" s="42">
        <f t="shared" si="6"/>
        <v>658.21946169772264</v>
      </c>
    </row>
    <row r="8" spans="1:18" s="42" customFormat="1" x14ac:dyDescent="0.2">
      <c r="A8" s="42">
        <v>15</v>
      </c>
      <c r="B8" s="27">
        <v>1</v>
      </c>
      <c r="C8" s="47">
        <f t="shared" si="0"/>
        <v>1252.1150592216582</v>
      </c>
      <c r="D8" s="42">
        <v>0.15</v>
      </c>
      <c r="E8" s="45">
        <f>C8*D8*B8/1000</f>
        <v>0.18781725888324871</v>
      </c>
      <c r="F8" s="8">
        <f t="shared" si="1"/>
        <v>187.81725888324871</v>
      </c>
      <c r="G8" s="1">
        <v>1.85</v>
      </c>
      <c r="H8" s="1">
        <v>90</v>
      </c>
      <c r="I8" s="30">
        <v>5.91</v>
      </c>
      <c r="J8" s="42">
        <f>B8*1000000/I8</f>
        <v>169204.7377326565</v>
      </c>
      <c r="K8" s="42">
        <v>600</v>
      </c>
      <c r="L8" s="45">
        <f t="shared" ref="L8:L9" si="7">J8*K8/1000000000</f>
        <v>0.10152284263959389</v>
      </c>
      <c r="M8" s="8">
        <f t="shared" si="2"/>
        <v>101.52284263959389</v>
      </c>
      <c r="N8" s="45">
        <f>$N$2*L7</f>
        <v>0.16</v>
      </c>
      <c r="O8" s="8">
        <f t="shared" si="3"/>
        <v>160</v>
      </c>
      <c r="P8" s="45">
        <f t="shared" si="4"/>
        <v>20.304568527918779</v>
      </c>
      <c r="Q8" s="42">
        <f t="shared" si="5"/>
        <v>0.46964467005076144</v>
      </c>
      <c r="R8" s="42">
        <f t="shared" si="6"/>
        <v>469.64467005076142</v>
      </c>
    </row>
    <row r="9" spans="1:18" s="42" customFormat="1" x14ac:dyDescent="0.2">
      <c r="A9" s="42">
        <v>20</v>
      </c>
      <c r="B9" s="27">
        <v>1</v>
      </c>
      <c r="C9" s="47">
        <f t="shared" si="0"/>
        <v>1153.8461538461538</v>
      </c>
      <c r="D9" s="42">
        <v>0.1</v>
      </c>
      <c r="E9" s="45">
        <f>C9*D9*B9/1000</f>
        <v>0.11538461538461539</v>
      </c>
      <c r="F9" s="8">
        <f t="shared" si="1"/>
        <v>115.38461538461539</v>
      </c>
      <c r="G9" s="1">
        <v>1.8</v>
      </c>
      <c r="H9" s="1">
        <v>95</v>
      </c>
      <c r="I9" s="30">
        <v>6.24</v>
      </c>
      <c r="J9" s="42">
        <f>B9*1000000/I9</f>
        <v>160256.41025641025</v>
      </c>
      <c r="K9" s="42">
        <v>600</v>
      </c>
      <c r="L9" s="45">
        <f t="shared" si="7"/>
        <v>9.6153846153846145E-2</v>
      </c>
      <c r="M9" s="8">
        <f t="shared" si="2"/>
        <v>96.153846153846146</v>
      </c>
      <c r="N9" s="45">
        <f>$N$2*L8</f>
        <v>0.12182741116751267</v>
      </c>
      <c r="O9" s="8">
        <f t="shared" si="3"/>
        <v>121.82741116751266</v>
      </c>
      <c r="P9" s="45">
        <f t="shared" si="4"/>
        <v>19.230769230769234</v>
      </c>
      <c r="Q9" s="42">
        <f t="shared" si="5"/>
        <v>0.35259664193674339</v>
      </c>
      <c r="R9" s="42">
        <f t="shared" si="6"/>
        <v>352.59664193674337</v>
      </c>
    </row>
    <row r="11" spans="1:18" x14ac:dyDescent="0.2">
      <c r="R11" s="42">
        <f>SUM(R5:R9)</f>
        <v>3270.4298754287715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E3FC-5FA8-1E4E-94FF-966ED9708B47}">
  <dimension ref="A1:L42"/>
  <sheetViews>
    <sheetView tabSelected="1" zoomScale="170" zoomScaleNormal="170" workbookViewId="0">
      <selection activeCell="A36" sqref="A36:E36"/>
    </sheetView>
  </sheetViews>
  <sheetFormatPr baseColWidth="10" defaultRowHeight="16" x14ac:dyDescent="0.2"/>
  <cols>
    <col min="1" max="1" width="20.83203125" bestFit="1" customWidth="1"/>
    <col min="2" max="2" width="22.6640625" customWidth="1"/>
    <col min="3" max="3" width="18" customWidth="1"/>
    <col min="4" max="4" width="18" bestFit="1" customWidth="1"/>
    <col min="6" max="6" width="18" customWidth="1"/>
    <col min="7" max="7" width="19.6640625" customWidth="1"/>
    <col min="9" max="11" width="14.33203125" bestFit="1" customWidth="1"/>
    <col min="12" max="12" width="11.33203125" customWidth="1"/>
  </cols>
  <sheetData>
    <row r="1" spans="1:12" x14ac:dyDescent="0.2">
      <c r="A1" t="s">
        <v>134</v>
      </c>
    </row>
    <row r="2" spans="1:12" x14ac:dyDescent="0.2">
      <c r="A2" s="1"/>
      <c r="B2" t="s">
        <v>137</v>
      </c>
    </row>
    <row r="3" spans="1:12" x14ac:dyDescent="0.2">
      <c r="A3" s="45"/>
      <c r="B3" t="s">
        <v>135</v>
      </c>
    </row>
    <row r="4" spans="1:12" x14ac:dyDescent="0.2">
      <c r="A4" s="47"/>
      <c r="B4" t="s">
        <v>136</v>
      </c>
      <c r="F4" s="15"/>
      <c r="I4" s="15"/>
      <c r="J4" s="15"/>
      <c r="K4" s="15"/>
    </row>
    <row r="5" spans="1:12" x14ac:dyDescent="0.2">
      <c r="A5" s="79"/>
      <c r="B5" t="s">
        <v>139</v>
      </c>
      <c r="F5" s="15"/>
      <c r="I5" s="15"/>
      <c r="J5" s="15"/>
      <c r="K5" s="15"/>
    </row>
    <row r="6" spans="1:12" x14ac:dyDescent="0.2">
      <c r="A6" s="82"/>
      <c r="B6" t="s">
        <v>218</v>
      </c>
      <c r="F6" s="15"/>
      <c r="I6" s="15"/>
      <c r="J6" s="15"/>
      <c r="K6" s="15"/>
    </row>
    <row r="7" spans="1:12" x14ac:dyDescent="0.2">
      <c r="F7" s="15"/>
      <c r="I7" s="15"/>
      <c r="J7" s="15"/>
      <c r="K7" s="15"/>
    </row>
    <row r="8" spans="1:12" x14ac:dyDescent="0.2">
      <c r="F8" s="80" t="s">
        <v>111</v>
      </c>
      <c r="I8" s="80" t="s">
        <v>113</v>
      </c>
      <c r="J8" s="80" t="s">
        <v>113</v>
      </c>
      <c r="K8" s="80" t="s">
        <v>114</v>
      </c>
    </row>
    <row r="9" spans="1:12" x14ac:dyDescent="0.2">
      <c r="A9" s="15" t="s">
        <v>104</v>
      </c>
      <c r="B9" s="81">
        <v>100</v>
      </c>
      <c r="C9" t="s">
        <v>38</v>
      </c>
      <c r="F9" s="1">
        <v>5000</v>
      </c>
      <c r="G9" t="s">
        <v>105</v>
      </c>
      <c r="I9" s="77">
        <v>1</v>
      </c>
      <c r="J9" s="77">
        <v>1</v>
      </c>
      <c r="K9" s="77">
        <v>1</v>
      </c>
      <c r="L9" s="25" t="s">
        <v>138</v>
      </c>
    </row>
    <row r="10" spans="1:12" x14ac:dyDescent="0.2">
      <c r="F10" s="59">
        <f>F9/60/60</f>
        <v>1.3888888888888888</v>
      </c>
      <c r="G10" t="s">
        <v>106</v>
      </c>
      <c r="I10" s="81">
        <v>100</v>
      </c>
      <c r="J10" s="81">
        <v>50</v>
      </c>
      <c r="K10" s="81">
        <v>20</v>
      </c>
      <c r="L10" s="25" t="s">
        <v>118</v>
      </c>
    </row>
    <row r="11" spans="1:12" s="76" customFormat="1" ht="34" x14ac:dyDescent="0.2">
      <c r="A11" s="78" t="s">
        <v>69</v>
      </c>
      <c r="B11" s="78" t="s">
        <v>132</v>
      </c>
      <c r="C11" s="78" t="s">
        <v>133</v>
      </c>
      <c r="D11" s="78" t="s">
        <v>37</v>
      </c>
      <c r="E11" s="78"/>
      <c r="F11" s="78" t="s">
        <v>112</v>
      </c>
      <c r="G11" s="78" t="s">
        <v>108</v>
      </c>
      <c r="H11" s="78"/>
      <c r="I11" s="78" t="s">
        <v>119</v>
      </c>
      <c r="J11" s="78" t="s">
        <v>119</v>
      </c>
      <c r="K11" s="78" t="s">
        <v>119</v>
      </c>
    </row>
    <row r="12" spans="1:12" s="67" customFormat="1" ht="34" x14ac:dyDescent="0.2">
      <c r="A12" s="83" t="s">
        <v>128</v>
      </c>
      <c r="B12" s="83" t="s">
        <v>126</v>
      </c>
      <c r="C12" s="83" t="s">
        <v>40</v>
      </c>
      <c r="D12" s="83" t="s">
        <v>4</v>
      </c>
      <c r="E12" s="84"/>
      <c r="F12" s="85" t="s">
        <v>95</v>
      </c>
      <c r="G12" s="85" t="s">
        <v>107</v>
      </c>
      <c r="H12" s="84"/>
      <c r="I12" s="83" t="s">
        <v>90</v>
      </c>
      <c r="J12" s="83" t="s">
        <v>90</v>
      </c>
      <c r="K12" s="83" t="s">
        <v>90</v>
      </c>
    </row>
    <row r="13" spans="1:12" x14ac:dyDescent="0.2">
      <c r="A13" s="1">
        <v>0</v>
      </c>
      <c r="B13" s="59">
        <f>$B$9/100*A13*10000/1000*44/1000000/96485*8000*60*60</f>
        <v>0</v>
      </c>
      <c r="C13" s="45">
        <v>0</v>
      </c>
      <c r="D13" s="59" t="e">
        <f>(C13*A13/1000)/(B13/8000)</f>
        <v>#DIV/0!</v>
      </c>
      <c r="F13" s="59">
        <f>((B13*1000000/44)/(8000*3600))</f>
        <v>0</v>
      </c>
      <c r="G13" s="59">
        <f t="shared" ref="G13:G21" si="0">F13/$F$10</f>
        <v>0</v>
      </c>
      <c r="I13" s="59">
        <f>$I$9-G13*$I$10</f>
        <v>1</v>
      </c>
      <c r="J13" s="59">
        <f>$J$9-G13*$J$10</f>
        <v>1</v>
      </c>
      <c r="K13" s="59">
        <f>$K$9-G13*$K$10</f>
        <v>1</v>
      </c>
    </row>
    <row r="14" spans="1:12" x14ac:dyDescent="0.2">
      <c r="A14" s="1">
        <v>10</v>
      </c>
      <c r="B14" s="59">
        <f>$B$9/100*A14*10000/1000*44/1000000/96485*8000*60*60</f>
        <v>1.3133647717261752</v>
      </c>
      <c r="C14" s="45">
        <v>0.76</v>
      </c>
      <c r="D14" s="59">
        <f>(C14*A14/1000)/(B14/8000)</f>
        <v>46.293308080808075</v>
      </c>
      <c r="F14" s="59">
        <f>((B14*1000000/44)/(8000*3600))</f>
        <v>1.0364305332435095E-3</v>
      </c>
      <c r="G14" s="59">
        <f t="shared" si="0"/>
        <v>7.4622998393532693E-4</v>
      </c>
      <c r="I14" s="59">
        <f>$I$9-G14*$I$10</f>
        <v>0.9253770016064673</v>
      </c>
      <c r="J14" s="59">
        <f>$J$9-G14*$J$10</f>
        <v>0.96268850080323365</v>
      </c>
      <c r="K14" s="59">
        <f>$K$9-G14*$K$10</f>
        <v>0.98507540032129348</v>
      </c>
    </row>
    <row r="15" spans="1:12" x14ac:dyDescent="0.2">
      <c r="A15" s="1">
        <v>15</v>
      </c>
      <c r="B15" s="59">
        <f t="shared" ref="B15:B21" si="1">$B$9/100*A15*10000/1000*44/1000000/96485*8000*60*60</f>
        <v>1.9700471575892622</v>
      </c>
      <c r="C15" s="45">
        <v>1.04</v>
      </c>
      <c r="D15" s="59">
        <f t="shared" ref="D15:D21" si="2">(C15*A15/1000)/(B15/8000)</f>
        <v>63.348737373737386</v>
      </c>
      <c r="F15" s="59">
        <f>((B15*1000000/44)/(8000*3600))</f>
        <v>1.5546457998652635E-3</v>
      </c>
      <c r="G15" s="59">
        <f t="shared" si="0"/>
        <v>1.1193449759029897E-3</v>
      </c>
      <c r="I15" s="59">
        <f t="shared" ref="I15:I21" si="3">$I$9-G15*$I$10</f>
        <v>0.88806550240970106</v>
      </c>
      <c r="J15" s="59">
        <f t="shared" ref="J15:J21" si="4">$J$9-G15*$J$10</f>
        <v>0.94403275120485053</v>
      </c>
      <c r="K15" s="59">
        <f t="shared" ref="K15:K21" si="5">$K$9-G15*$K$10</f>
        <v>0.97761310048194017</v>
      </c>
    </row>
    <row r="16" spans="1:12" x14ac:dyDescent="0.2">
      <c r="A16" s="75">
        <v>20</v>
      </c>
      <c r="B16" s="59">
        <f t="shared" si="1"/>
        <v>2.6267295434523503</v>
      </c>
      <c r="C16" s="45">
        <v>1.1399999999999999</v>
      </c>
      <c r="D16" s="59">
        <f t="shared" si="2"/>
        <v>69.439962121212105</v>
      </c>
      <c r="F16" s="59">
        <f t="shared" ref="F16:F21" si="6">((B16*1000000/44)/(8000*3600))</f>
        <v>2.0728610664870191E-3</v>
      </c>
      <c r="G16" s="59">
        <f t="shared" si="0"/>
        <v>1.4924599678706539E-3</v>
      </c>
      <c r="I16" s="59">
        <f t="shared" si="3"/>
        <v>0.8507540032129346</v>
      </c>
      <c r="J16" s="59">
        <f t="shared" si="4"/>
        <v>0.9253770016064673</v>
      </c>
      <c r="K16" s="59">
        <f t="shared" si="5"/>
        <v>0.97015080064258696</v>
      </c>
    </row>
    <row r="17" spans="1:11" x14ac:dyDescent="0.2">
      <c r="A17" s="1">
        <v>40</v>
      </c>
      <c r="B17" s="59">
        <f t="shared" si="1"/>
        <v>5.2534590869047006</v>
      </c>
      <c r="C17" s="45">
        <v>1.48</v>
      </c>
      <c r="D17" s="59">
        <f t="shared" si="2"/>
        <v>90.150126262626259</v>
      </c>
      <c r="F17" s="59">
        <f t="shared" si="6"/>
        <v>4.1457221329740382E-3</v>
      </c>
      <c r="G17" s="59">
        <f t="shared" si="0"/>
        <v>2.9849199357413077E-3</v>
      </c>
      <c r="I17" s="59">
        <f t="shared" si="3"/>
        <v>0.70150800642586919</v>
      </c>
      <c r="J17" s="59">
        <f t="shared" si="4"/>
        <v>0.8507540032129346</v>
      </c>
      <c r="K17" s="59">
        <f t="shared" si="5"/>
        <v>0.94030160128517382</v>
      </c>
    </row>
    <row r="18" spans="1:11" x14ac:dyDescent="0.2">
      <c r="A18" s="1">
        <v>50</v>
      </c>
      <c r="B18" s="59">
        <f t="shared" si="1"/>
        <v>6.5668238586308751</v>
      </c>
      <c r="C18" s="45">
        <v>1.65</v>
      </c>
      <c r="D18" s="59">
        <f>(C18*A18/1000)/(B18/8000)</f>
        <v>100.50520833333334</v>
      </c>
      <c r="F18" s="59">
        <f t="shared" si="6"/>
        <v>5.182152666217547E-3</v>
      </c>
      <c r="G18" s="59">
        <f t="shared" si="0"/>
        <v>3.7311499196766339E-3</v>
      </c>
      <c r="I18" s="59">
        <f t="shared" si="3"/>
        <v>0.6268850080323366</v>
      </c>
      <c r="J18" s="59">
        <f t="shared" si="4"/>
        <v>0.81344250401616836</v>
      </c>
      <c r="K18" s="59">
        <f t="shared" si="5"/>
        <v>0.9253770016064673</v>
      </c>
    </row>
    <row r="19" spans="1:11" x14ac:dyDescent="0.2">
      <c r="A19" s="1">
        <v>60</v>
      </c>
      <c r="B19" s="59">
        <f t="shared" si="1"/>
        <v>7.8801886303570488</v>
      </c>
      <c r="C19" s="45">
        <v>1.82</v>
      </c>
      <c r="D19" s="59">
        <f t="shared" si="2"/>
        <v>110.86029040404043</v>
      </c>
      <c r="F19" s="59">
        <f t="shared" si="6"/>
        <v>6.2185831994610542E-3</v>
      </c>
      <c r="G19" s="59">
        <f t="shared" si="0"/>
        <v>4.4773799036119588E-3</v>
      </c>
      <c r="I19" s="59">
        <f t="shared" si="3"/>
        <v>0.55226200963880412</v>
      </c>
      <c r="J19" s="59">
        <f t="shared" si="4"/>
        <v>0.77613100481940211</v>
      </c>
      <c r="K19" s="59">
        <f t="shared" si="5"/>
        <v>0.91045240192776078</v>
      </c>
    </row>
    <row r="20" spans="1:11" x14ac:dyDescent="0.2">
      <c r="A20" s="1">
        <v>80</v>
      </c>
      <c r="B20" s="59">
        <f t="shared" si="1"/>
        <v>10.506918173809401</v>
      </c>
      <c r="C20" s="45">
        <v>2.14</v>
      </c>
      <c r="D20" s="59">
        <f t="shared" si="2"/>
        <v>130.35220959595961</v>
      </c>
      <c r="F20" s="59">
        <f t="shared" si="6"/>
        <v>8.2914442659480763E-3</v>
      </c>
      <c r="G20" s="59">
        <f t="shared" si="0"/>
        <v>5.9698398714826155E-3</v>
      </c>
      <c r="I20" s="64">
        <f t="shared" si="3"/>
        <v>0.40301601285173849</v>
      </c>
      <c r="J20" s="59">
        <f t="shared" si="4"/>
        <v>0.70150800642586919</v>
      </c>
      <c r="K20" s="59">
        <f t="shared" si="5"/>
        <v>0.88060320257034763</v>
      </c>
    </row>
    <row r="21" spans="1:11" x14ac:dyDescent="0.2">
      <c r="A21" s="1">
        <v>100</v>
      </c>
      <c r="B21" s="59">
        <f t="shared" si="1"/>
        <v>13.13364771726175</v>
      </c>
      <c r="C21" s="45">
        <v>2.44</v>
      </c>
      <c r="D21" s="59">
        <f t="shared" si="2"/>
        <v>148.62588383838383</v>
      </c>
      <c r="F21" s="59">
        <f t="shared" si="6"/>
        <v>1.0364305332435094E-2</v>
      </c>
      <c r="G21" s="59">
        <f t="shared" si="0"/>
        <v>7.4622998393532678E-3</v>
      </c>
      <c r="I21" s="64">
        <f t="shared" si="3"/>
        <v>0.2537700160646732</v>
      </c>
      <c r="J21" s="64">
        <f t="shared" si="4"/>
        <v>0.6268850080323366</v>
      </c>
      <c r="K21" s="59">
        <f t="shared" si="5"/>
        <v>0.8507540032129346</v>
      </c>
    </row>
    <row r="23" spans="1:11" x14ac:dyDescent="0.2">
      <c r="A23" t="s">
        <v>140</v>
      </c>
    </row>
    <row r="24" spans="1:11" x14ac:dyDescent="0.2">
      <c r="A24" s="82" t="s">
        <v>223</v>
      </c>
      <c r="B24" s="82"/>
    </row>
    <row r="27" spans="1:11" x14ac:dyDescent="0.2">
      <c r="A27" s="82" t="s">
        <v>224</v>
      </c>
      <c r="C27" s="82"/>
      <c r="D27" s="82"/>
    </row>
    <row r="30" spans="1:11" x14ac:dyDescent="0.2">
      <c r="A30" s="82" t="s">
        <v>225</v>
      </c>
      <c r="I30" s="82"/>
      <c r="J30" s="82"/>
      <c r="K30" s="82"/>
    </row>
    <row r="36" spans="1:5" ht="135" customHeight="1" x14ac:dyDescent="0.2">
      <c r="A36" s="121" t="s">
        <v>259</v>
      </c>
      <c r="B36" s="121"/>
      <c r="C36" s="121"/>
      <c r="D36" s="121"/>
      <c r="E36" s="121"/>
    </row>
    <row r="37" spans="1:5" x14ac:dyDescent="0.2">
      <c r="A37" s="112"/>
    </row>
    <row r="42" spans="1:5" ht="188" customHeight="1" x14ac:dyDescent="0.2">
      <c r="A42" s="121" t="s">
        <v>260</v>
      </c>
      <c r="B42" s="121"/>
      <c r="C42" s="121"/>
      <c r="D42" s="121"/>
      <c r="E42" s="121"/>
    </row>
  </sheetData>
  <mergeCells count="2">
    <mergeCell ref="A36:E36"/>
    <mergeCell ref="A42:E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A380-5052-0646-B469-80E56175AAA9}">
  <dimension ref="B3:J22"/>
  <sheetViews>
    <sheetView topLeftCell="A3" zoomScale="130" zoomScaleNormal="130" workbookViewId="0">
      <selection activeCell="J24" sqref="J24"/>
    </sheetView>
  </sheetViews>
  <sheetFormatPr baseColWidth="10" defaultRowHeight="16" x14ac:dyDescent="0.2"/>
  <sheetData>
    <row r="3" spans="2:10" ht="224" customHeight="1" x14ac:dyDescent="0.2">
      <c r="B3" s="118"/>
      <c r="C3" s="118"/>
      <c r="D3" s="118"/>
      <c r="E3" s="118"/>
      <c r="F3" s="118"/>
      <c r="G3" s="118"/>
      <c r="H3" s="118"/>
      <c r="I3" s="118"/>
    </row>
    <row r="7" spans="2:10" x14ac:dyDescent="0.2">
      <c r="B7" s="111" t="s">
        <v>221</v>
      </c>
    </row>
    <row r="8" spans="2:10" x14ac:dyDescent="0.2">
      <c r="B8" s="114" t="s">
        <v>227</v>
      </c>
    </row>
    <row r="9" spans="2:10" x14ac:dyDescent="0.2">
      <c r="B9" s="111" t="s">
        <v>253</v>
      </c>
    </row>
    <row r="12" spans="2:10" x14ac:dyDescent="0.2">
      <c r="D12" s="15" t="s">
        <v>231</v>
      </c>
      <c r="E12" s="15" t="s">
        <v>232</v>
      </c>
      <c r="F12" s="15" t="s">
        <v>233</v>
      </c>
      <c r="G12" s="15"/>
      <c r="H12" s="15" t="s">
        <v>245</v>
      </c>
      <c r="I12" s="15"/>
      <c r="J12" s="15"/>
    </row>
    <row r="13" spans="2:10" x14ac:dyDescent="0.2">
      <c r="B13" t="s">
        <v>230</v>
      </c>
      <c r="D13" s="2">
        <v>0.82699999999999996</v>
      </c>
      <c r="E13" s="2">
        <v>0.82699999999999996</v>
      </c>
      <c r="F13" s="2">
        <v>1.2290000000000001</v>
      </c>
      <c r="G13" t="s">
        <v>40</v>
      </c>
      <c r="H13" t="s">
        <v>248</v>
      </c>
    </row>
    <row r="14" spans="2:10" x14ac:dyDescent="0.2">
      <c r="B14" t="s">
        <v>234</v>
      </c>
      <c r="D14" s="2">
        <v>0.23599999999999999</v>
      </c>
      <c r="E14" s="2">
        <v>0.29499999999999998</v>
      </c>
      <c r="F14" s="2">
        <v>0</v>
      </c>
      <c r="G14" t="s">
        <v>40</v>
      </c>
      <c r="H14" t="s">
        <v>247</v>
      </c>
    </row>
    <row r="15" spans="2:10" x14ac:dyDescent="0.2">
      <c r="B15" t="s">
        <v>243</v>
      </c>
      <c r="D15" s="2">
        <v>0.12</v>
      </c>
      <c r="E15" s="2">
        <v>0.18</v>
      </c>
      <c r="F15" s="2">
        <v>0</v>
      </c>
      <c r="G15" t="s">
        <v>40</v>
      </c>
      <c r="H15" t="s">
        <v>254</v>
      </c>
      <c r="I15" t="s">
        <v>222</v>
      </c>
    </row>
    <row r="16" spans="2:10" x14ac:dyDescent="0.2">
      <c r="B16" t="s">
        <v>240</v>
      </c>
      <c r="D16" s="1">
        <v>0.4</v>
      </c>
      <c r="E16" s="1">
        <v>0.42</v>
      </c>
      <c r="F16" s="1">
        <v>0.45</v>
      </c>
      <c r="G16" t="s">
        <v>40</v>
      </c>
      <c r="H16" t="s">
        <v>241</v>
      </c>
      <c r="J16" t="s">
        <v>249</v>
      </c>
    </row>
    <row r="17" spans="2:8" x14ac:dyDescent="0.2">
      <c r="B17" t="s">
        <v>235</v>
      </c>
      <c r="D17" s="2">
        <f>D16/50</f>
        <v>8.0000000000000002E-3</v>
      </c>
      <c r="E17" s="2">
        <f>E16/50</f>
        <v>8.3999999999999995E-3</v>
      </c>
      <c r="F17" s="2">
        <v>0.45</v>
      </c>
      <c r="G17" t="s">
        <v>40</v>
      </c>
      <c r="H17" t="s">
        <v>236</v>
      </c>
    </row>
    <row r="18" spans="2:8" x14ac:dyDescent="0.2">
      <c r="B18" t="s">
        <v>237</v>
      </c>
      <c r="D18" s="2">
        <v>0.24</v>
      </c>
      <c r="E18" s="2">
        <v>0.6</v>
      </c>
      <c r="F18" s="2">
        <v>0.2</v>
      </c>
      <c r="G18" t="s">
        <v>40</v>
      </c>
      <c r="H18" t="s">
        <v>252</v>
      </c>
    </row>
    <row r="19" spans="2:8" x14ac:dyDescent="0.2">
      <c r="B19" t="s">
        <v>238</v>
      </c>
      <c r="D19" s="2">
        <v>0.02</v>
      </c>
      <c r="E19" s="2">
        <v>0.05</v>
      </c>
      <c r="F19" s="2">
        <v>0.05</v>
      </c>
      <c r="G19" t="s">
        <v>40</v>
      </c>
      <c r="H19" t="s">
        <v>252</v>
      </c>
    </row>
    <row r="20" spans="2:8" ht="17" thickBot="1" x14ac:dyDescent="0.25">
      <c r="B20" s="115" t="s">
        <v>246</v>
      </c>
      <c r="C20" s="115"/>
      <c r="D20" s="117">
        <v>0.15</v>
      </c>
      <c r="E20" s="117">
        <v>0.15</v>
      </c>
      <c r="F20" s="117">
        <v>0</v>
      </c>
      <c r="G20" s="115" t="s">
        <v>40</v>
      </c>
      <c r="H20" t="s">
        <v>255</v>
      </c>
    </row>
    <row r="21" spans="2:8" x14ac:dyDescent="0.2">
      <c r="B21" t="s">
        <v>244</v>
      </c>
      <c r="D21" s="26">
        <f>SUM(D13:D19)-D16</f>
        <v>1.4509999999999996</v>
      </c>
      <c r="E21" s="26">
        <f t="shared" ref="E21:F21" si="0">SUM(E13:E19)-E16</f>
        <v>1.9603999999999995</v>
      </c>
      <c r="F21" s="26">
        <f t="shared" si="0"/>
        <v>1.929</v>
      </c>
    </row>
    <row r="22" spans="2:8" x14ac:dyDescent="0.2">
      <c r="B22" s="116" t="s">
        <v>242</v>
      </c>
      <c r="C22" s="47"/>
      <c r="D22" s="116">
        <f>D21-D20</f>
        <v>1.3009999999999997</v>
      </c>
      <c r="E22" s="116">
        <f t="shared" ref="E22:F22" si="1">E21-E20</f>
        <v>1.8103999999999996</v>
      </c>
      <c r="F22" s="116">
        <f t="shared" si="1"/>
        <v>1.929</v>
      </c>
      <c r="G22" s="15" t="s">
        <v>40</v>
      </c>
    </row>
  </sheetData>
  <mergeCells count="1">
    <mergeCell ref="B3:I3"/>
  </mergeCells>
  <hyperlinks>
    <hyperlink ref="B7" r:id="rId1" xr:uid="{2ED5181E-0E5E-7248-87CD-AC9A8E684A34}"/>
    <hyperlink ref="B8" r:id="rId2" xr:uid="{0CDA1FCE-164B-DD4E-BDAD-AF9DED1501EF}"/>
    <hyperlink ref="B9" r:id="rId3" xr:uid="{9810A7C1-5E8A-DB4D-A340-7C99DE0F059D}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199A-D0CA-E048-8578-165001BC2DC3}">
  <dimension ref="A1:I14"/>
  <sheetViews>
    <sheetView topLeftCell="B1" zoomScale="160" zoomScaleNormal="160" workbookViewId="0">
      <selection activeCell="F4" sqref="F4:I14"/>
    </sheetView>
  </sheetViews>
  <sheetFormatPr baseColWidth="10" defaultRowHeight="16" x14ac:dyDescent="0.2"/>
  <cols>
    <col min="1" max="1" width="20.5" bestFit="1" customWidth="1"/>
    <col min="2" max="2" width="24.83203125" bestFit="1" customWidth="1"/>
    <col min="3" max="3" width="24.5" bestFit="1" customWidth="1"/>
    <col min="4" max="4" width="26.1640625" bestFit="1" customWidth="1"/>
    <col min="6" max="6" width="14.33203125" bestFit="1" customWidth="1"/>
  </cols>
  <sheetData>
    <row r="1" spans="1:9" x14ac:dyDescent="0.2">
      <c r="B1" s="15" t="s">
        <v>104</v>
      </c>
      <c r="C1" s="15" t="s">
        <v>111</v>
      </c>
    </row>
    <row r="2" spans="1:9" x14ac:dyDescent="0.2">
      <c r="B2" s="1">
        <v>100</v>
      </c>
      <c r="C2" s="1">
        <v>4500</v>
      </c>
      <c r="D2" t="s">
        <v>105</v>
      </c>
    </row>
    <row r="3" spans="1:9" x14ac:dyDescent="0.2">
      <c r="C3" s="59">
        <f>C2/60/60</f>
        <v>1.25</v>
      </c>
      <c r="D3" t="s">
        <v>106</v>
      </c>
    </row>
    <row r="4" spans="1:9" s="15" customFormat="1" x14ac:dyDescent="0.2">
      <c r="A4" s="58" t="s">
        <v>69</v>
      </c>
      <c r="B4" s="58" t="s">
        <v>70</v>
      </c>
      <c r="C4" s="58" t="s">
        <v>112</v>
      </c>
      <c r="D4" s="58" t="s">
        <v>108</v>
      </c>
      <c r="F4" s="15" t="s">
        <v>109</v>
      </c>
      <c r="G4" s="15" t="s">
        <v>109</v>
      </c>
      <c r="H4" s="15" t="s">
        <v>109</v>
      </c>
    </row>
    <row r="5" spans="1:9" x14ac:dyDescent="0.2">
      <c r="A5" s="35" t="s">
        <v>1</v>
      </c>
      <c r="B5" s="35" t="s">
        <v>88</v>
      </c>
      <c r="C5" s="62" t="s">
        <v>95</v>
      </c>
      <c r="D5" s="62" t="s">
        <v>107</v>
      </c>
      <c r="F5" t="s">
        <v>113</v>
      </c>
      <c r="G5" t="s">
        <v>113</v>
      </c>
      <c r="H5" t="s">
        <v>114</v>
      </c>
    </row>
    <row r="6" spans="1:9" x14ac:dyDescent="0.2">
      <c r="F6" s="27">
        <v>1</v>
      </c>
      <c r="G6" s="27">
        <v>1</v>
      </c>
      <c r="H6" s="27">
        <v>1</v>
      </c>
      <c r="I6" t="s">
        <v>90</v>
      </c>
    </row>
    <row r="7" spans="1:9" x14ac:dyDescent="0.2">
      <c r="A7">
        <v>0</v>
      </c>
      <c r="B7">
        <f>$B$2/100*A7*44/1000000/96485*28800000</f>
        <v>0</v>
      </c>
      <c r="F7" s="1">
        <v>100</v>
      </c>
      <c r="G7" s="1">
        <v>50</v>
      </c>
      <c r="H7" s="1">
        <v>25</v>
      </c>
      <c r="I7" t="s">
        <v>110</v>
      </c>
    </row>
    <row r="8" spans="1:9" x14ac:dyDescent="0.2">
      <c r="A8">
        <v>150</v>
      </c>
      <c r="B8">
        <f>$B$2/100*A8*44/1000000/96485*28800000</f>
        <v>1.9700471575892624</v>
      </c>
      <c r="C8">
        <f t="shared" ref="C8:C14" si="0">((B8*1000000/44)/(8000*3600))</f>
        <v>1.5546457998652638E-3</v>
      </c>
      <c r="D8">
        <f t="shared" ref="D8:D14" si="1">C8/$C$3</f>
        <v>1.243716639892211E-3</v>
      </c>
      <c r="F8">
        <f t="shared" ref="F8:F14" si="2">$F$6-D8*$F$7</f>
        <v>0.87562833601077894</v>
      </c>
      <c r="G8">
        <f>$G$6-D8*$G$7</f>
        <v>0.93781416800538941</v>
      </c>
      <c r="H8">
        <f>$H$6-D8*$H$7</f>
        <v>0.96890708400269476</v>
      </c>
    </row>
    <row r="9" spans="1:9" x14ac:dyDescent="0.2">
      <c r="A9">
        <v>200</v>
      </c>
      <c r="B9">
        <f>$B$2/100*A9*44/1000000/96485*28800000</f>
        <v>2.6267295434523503</v>
      </c>
      <c r="C9">
        <f t="shared" si="0"/>
        <v>2.0728610664870191E-3</v>
      </c>
      <c r="D9">
        <f t="shared" si="1"/>
        <v>1.6582888531896153E-3</v>
      </c>
      <c r="F9">
        <f t="shared" si="2"/>
        <v>0.83417111468103844</v>
      </c>
      <c r="G9">
        <f t="shared" ref="G9:G14" si="3">$G$6-D9*$G$7</f>
        <v>0.91708555734051922</v>
      </c>
      <c r="H9">
        <f t="shared" ref="H9:H14" si="4">$H$6-D9*$H$7</f>
        <v>0.95854277867025961</v>
      </c>
    </row>
    <row r="10" spans="1:9" x14ac:dyDescent="0.2">
      <c r="A10">
        <v>400</v>
      </c>
      <c r="B10">
        <f t="shared" ref="B10:B14" si="5">$B$2/100*A10*44/1000000/96485*28800000</f>
        <v>5.2534590869047006</v>
      </c>
      <c r="C10">
        <f t="shared" si="0"/>
        <v>4.1457221329740382E-3</v>
      </c>
      <c r="D10">
        <f t="shared" si="1"/>
        <v>3.3165777063792305E-3</v>
      </c>
      <c r="F10" s="63">
        <f t="shared" si="2"/>
        <v>0.66834222936207688</v>
      </c>
      <c r="G10">
        <f t="shared" si="3"/>
        <v>0.83417111468103844</v>
      </c>
      <c r="H10">
        <f t="shared" si="4"/>
        <v>0.91708555734051922</v>
      </c>
    </row>
    <row r="11" spans="1:9" x14ac:dyDescent="0.2">
      <c r="A11">
        <v>500</v>
      </c>
      <c r="B11">
        <f t="shared" si="5"/>
        <v>6.5668238586308751</v>
      </c>
      <c r="C11">
        <f t="shared" si="0"/>
        <v>5.182152666217547E-3</v>
      </c>
      <c r="D11">
        <f t="shared" si="1"/>
        <v>4.1457221329740373E-3</v>
      </c>
      <c r="F11" s="63">
        <f t="shared" si="2"/>
        <v>0.58542778670259632</v>
      </c>
      <c r="G11">
        <f t="shared" si="3"/>
        <v>0.79271389335129816</v>
      </c>
      <c r="H11" s="15">
        <f t="shared" si="4"/>
        <v>0.89635694667564902</v>
      </c>
    </row>
    <row r="12" spans="1:9" x14ac:dyDescent="0.2">
      <c r="A12">
        <v>600</v>
      </c>
      <c r="B12">
        <f t="shared" si="5"/>
        <v>7.8801886303570496</v>
      </c>
      <c r="C12">
        <f t="shared" si="0"/>
        <v>6.2185831994610551E-3</v>
      </c>
      <c r="D12">
        <f t="shared" si="1"/>
        <v>4.974866559568844E-3</v>
      </c>
      <c r="F12" s="63">
        <f t="shared" si="2"/>
        <v>0.50251334404311554</v>
      </c>
      <c r="G12" s="63">
        <f t="shared" si="3"/>
        <v>0.75125667202155777</v>
      </c>
      <c r="H12">
        <f t="shared" si="4"/>
        <v>0.87562833601077894</v>
      </c>
    </row>
    <row r="13" spans="1:9" x14ac:dyDescent="0.2">
      <c r="A13">
        <v>800</v>
      </c>
      <c r="B13">
        <f t="shared" si="5"/>
        <v>10.506918173809401</v>
      </c>
      <c r="C13">
        <f t="shared" si="0"/>
        <v>8.2914442659480763E-3</v>
      </c>
      <c r="D13">
        <f t="shared" si="1"/>
        <v>6.633155412758461E-3</v>
      </c>
      <c r="F13" s="63">
        <f t="shared" si="2"/>
        <v>0.33668445872415387</v>
      </c>
      <c r="G13" s="63">
        <f t="shared" si="3"/>
        <v>0.66834222936207688</v>
      </c>
      <c r="H13">
        <f t="shared" si="4"/>
        <v>0.83417111468103844</v>
      </c>
    </row>
    <row r="14" spans="1:9" x14ac:dyDescent="0.2">
      <c r="A14">
        <v>1000</v>
      </c>
      <c r="B14">
        <f t="shared" si="5"/>
        <v>13.13364771726175</v>
      </c>
      <c r="C14">
        <f t="shared" si="0"/>
        <v>1.0364305332435094E-2</v>
      </c>
      <c r="D14">
        <f t="shared" si="1"/>
        <v>8.2914442659480746E-3</v>
      </c>
      <c r="F14" s="63">
        <f t="shared" si="2"/>
        <v>0.17085557340519253</v>
      </c>
      <c r="G14" s="63">
        <f t="shared" si="3"/>
        <v>0.58542778670259632</v>
      </c>
      <c r="H14">
        <f t="shared" si="4"/>
        <v>0.79271389335129816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D39A-017F-454D-AC41-1824E1953C9A}">
  <dimension ref="A1:L47"/>
  <sheetViews>
    <sheetView topLeftCell="G1" zoomScale="120" zoomScaleNormal="120" workbookViewId="0">
      <selection activeCell="M25" sqref="M25"/>
    </sheetView>
  </sheetViews>
  <sheetFormatPr baseColWidth="10" defaultRowHeight="16" x14ac:dyDescent="0.2"/>
  <cols>
    <col min="1" max="1" width="14" bestFit="1" customWidth="1"/>
    <col min="2" max="2" width="17.5" style="5" bestFit="1" customWidth="1"/>
    <col min="3" max="3" width="20.6640625" style="1" bestFit="1" customWidth="1"/>
    <col min="4" max="4" width="14.1640625" bestFit="1" customWidth="1"/>
    <col min="5" max="5" width="13.1640625" style="37" customWidth="1"/>
    <col min="6" max="6" width="15.1640625" style="1" bestFit="1" customWidth="1"/>
    <col min="7" max="8" width="13.1640625" style="35" customWidth="1"/>
    <col min="9" max="9" width="22.33203125" style="37" bestFit="1" customWidth="1"/>
    <col min="10" max="10" width="22.33203125" style="1" customWidth="1"/>
    <col min="11" max="11" width="23.33203125" style="39" customWidth="1"/>
    <col min="12" max="12" width="14.6640625" customWidth="1"/>
  </cols>
  <sheetData>
    <row r="1" spans="1:12" x14ac:dyDescent="0.2">
      <c r="A1" t="s">
        <v>51</v>
      </c>
    </row>
    <row r="2" spans="1:12" x14ac:dyDescent="0.2">
      <c r="A2" s="1">
        <v>2</v>
      </c>
      <c r="B2" s="5" t="s">
        <v>52</v>
      </c>
      <c r="K2" s="1">
        <v>0.6</v>
      </c>
    </row>
    <row r="3" spans="1:12" s="31" customFormat="1" x14ac:dyDescent="0.2">
      <c r="A3" s="31" t="s">
        <v>46</v>
      </c>
      <c r="B3" s="34" t="s">
        <v>68</v>
      </c>
      <c r="C3" s="32" t="s">
        <v>61</v>
      </c>
      <c r="D3" s="31" t="s">
        <v>47</v>
      </c>
      <c r="E3" s="38" t="s">
        <v>50</v>
      </c>
      <c r="F3" s="32" t="s">
        <v>57</v>
      </c>
      <c r="G3" s="36" t="s">
        <v>55</v>
      </c>
      <c r="H3" s="36" t="s">
        <v>59</v>
      </c>
      <c r="I3" s="38" t="s">
        <v>54</v>
      </c>
      <c r="J3" s="32" t="s">
        <v>62</v>
      </c>
      <c r="K3" s="40" t="s">
        <v>60</v>
      </c>
      <c r="L3" s="31" t="s">
        <v>66</v>
      </c>
    </row>
    <row r="4" spans="1:12" s="31" customFormat="1" x14ac:dyDescent="0.2">
      <c r="A4" s="31" t="s">
        <v>22</v>
      </c>
      <c r="B4" s="34" t="s">
        <v>52</v>
      </c>
      <c r="C4" s="32" t="s">
        <v>4</v>
      </c>
      <c r="D4" s="31" t="s">
        <v>48</v>
      </c>
      <c r="E4" s="38" t="s">
        <v>65</v>
      </c>
      <c r="F4" s="32" t="s">
        <v>56</v>
      </c>
      <c r="G4" s="36" t="s">
        <v>58</v>
      </c>
      <c r="H4" s="36"/>
      <c r="I4" s="38" t="s">
        <v>64</v>
      </c>
      <c r="J4" s="32" t="s">
        <v>67</v>
      </c>
      <c r="K4" s="40"/>
    </row>
    <row r="5" spans="1:12" x14ac:dyDescent="0.2">
      <c r="A5">
        <v>0</v>
      </c>
      <c r="B5" s="5">
        <f>A5*$A$2</f>
        <v>0</v>
      </c>
      <c r="C5" s="1">
        <v>1300</v>
      </c>
      <c r="D5">
        <v>0.5</v>
      </c>
      <c r="E5" s="37">
        <f t="shared" ref="E5:E45" si="0">C5*D5*B5/1000</f>
        <v>0</v>
      </c>
      <c r="F5" s="1">
        <v>1.25</v>
      </c>
      <c r="G5" s="35">
        <f t="shared" ref="G5:G45" si="1">B5*1000000/F5</f>
        <v>0</v>
      </c>
      <c r="H5" s="35">
        <v>900</v>
      </c>
      <c r="I5" s="37">
        <f>G5*H5/1000000000</f>
        <v>0</v>
      </c>
      <c r="J5" s="1">
        <v>0</v>
      </c>
      <c r="L5">
        <f>E5+I5+K5</f>
        <v>0</v>
      </c>
    </row>
    <row r="6" spans="1:12" s="42" customFormat="1" x14ac:dyDescent="0.2">
      <c r="A6" s="42">
        <v>0.5</v>
      </c>
      <c r="B6" s="42">
        <f t="shared" ref="B6:B45" si="2">A6*$A$2</f>
        <v>1</v>
      </c>
      <c r="C6" s="42">
        <v>1300</v>
      </c>
      <c r="D6" s="42">
        <v>0.5</v>
      </c>
      <c r="E6" s="42">
        <f t="shared" si="0"/>
        <v>0.65</v>
      </c>
      <c r="F6" s="42">
        <v>1.25</v>
      </c>
      <c r="G6" s="42">
        <f t="shared" si="1"/>
        <v>800000</v>
      </c>
      <c r="H6" s="42">
        <v>900</v>
      </c>
      <c r="I6" s="42">
        <f t="shared" ref="I6:I45" si="3">G6*H6/1000000000</f>
        <v>0.72</v>
      </c>
      <c r="J6" s="42">
        <v>0</v>
      </c>
      <c r="L6" s="42">
        <f t="shared" ref="L6:L45" si="4">E6+I6+K6</f>
        <v>1.37</v>
      </c>
    </row>
    <row r="7" spans="1:12" x14ac:dyDescent="0.2">
      <c r="A7">
        <v>1</v>
      </c>
      <c r="B7" s="5">
        <f t="shared" si="2"/>
        <v>2</v>
      </c>
      <c r="C7" s="1">
        <v>1300</v>
      </c>
      <c r="D7">
        <v>0.5</v>
      </c>
      <c r="E7" s="37">
        <f t="shared" si="0"/>
        <v>1.3</v>
      </c>
      <c r="F7" s="1">
        <v>1.25</v>
      </c>
      <c r="G7" s="35">
        <f t="shared" si="1"/>
        <v>1600000</v>
      </c>
      <c r="H7" s="35">
        <v>900</v>
      </c>
      <c r="I7" s="37">
        <f t="shared" si="3"/>
        <v>1.44</v>
      </c>
      <c r="J7" s="1">
        <v>0</v>
      </c>
      <c r="L7">
        <f t="shared" si="4"/>
        <v>2.74</v>
      </c>
    </row>
    <row r="8" spans="1:12" x14ac:dyDescent="0.2">
      <c r="A8">
        <v>1.5</v>
      </c>
      <c r="B8" s="5">
        <f t="shared" si="2"/>
        <v>3</v>
      </c>
      <c r="C8" s="1">
        <v>1300</v>
      </c>
      <c r="D8">
        <v>0.5</v>
      </c>
      <c r="E8" s="37">
        <f t="shared" si="0"/>
        <v>1.95</v>
      </c>
      <c r="F8" s="1">
        <v>1.25</v>
      </c>
      <c r="G8" s="35">
        <f t="shared" si="1"/>
        <v>2400000</v>
      </c>
      <c r="H8" s="35">
        <v>900</v>
      </c>
      <c r="I8" s="37">
        <f t="shared" si="3"/>
        <v>2.16</v>
      </c>
      <c r="J8" s="1">
        <v>0</v>
      </c>
      <c r="L8">
        <f t="shared" si="4"/>
        <v>4.1100000000000003</v>
      </c>
    </row>
    <row r="9" spans="1:12" x14ac:dyDescent="0.2">
      <c r="A9">
        <v>2</v>
      </c>
      <c r="B9" s="5">
        <f t="shared" si="2"/>
        <v>4</v>
      </c>
      <c r="C9" s="1">
        <v>1300</v>
      </c>
      <c r="D9">
        <v>0.5</v>
      </c>
      <c r="E9" s="37">
        <f t="shared" si="0"/>
        <v>2.6</v>
      </c>
      <c r="F9" s="1">
        <v>1.25</v>
      </c>
      <c r="G9" s="35">
        <f t="shared" si="1"/>
        <v>3200000</v>
      </c>
      <c r="H9" s="35">
        <v>900</v>
      </c>
      <c r="I9" s="37">
        <f t="shared" si="3"/>
        <v>2.88</v>
      </c>
      <c r="J9" s="1">
        <v>0</v>
      </c>
      <c r="L9">
        <f t="shared" si="4"/>
        <v>5.48</v>
      </c>
    </row>
    <row r="10" spans="1:12" x14ac:dyDescent="0.2">
      <c r="A10">
        <v>2.5</v>
      </c>
      <c r="B10" s="5">
        <f t="shared" si="2"/>
        <v>5</v>
      </c>
      <c r="C10" s="1">
        <v>1300</v>
      </c>
      <c r="D10">
        <v>0.5</v>
      </c>
      <c r="E10" s="37">
        <f t="shared" si="0"/>
        <v>3.25</v>
      </c>
      <c r="F10" s="1">
        <v>1.25</v>
      </c>
      <c r="G10" s="35">
        <f t="shared" si="1"/>
        <v>4000000</v>
      </c>
      <c r="H10" s="35">
        <v>900</v>
      </c>
      <c r="I10" s="37">
        <f t="shared" si="3"/>
        <v>3.6</v>
      </c>
      <c r="J10" s="1">
        <v>0</v>
      </c>
      <c r="L10">
        <f t="shared" si="4"/>
        <v>6.85</v>
      </c>
    </row>
    <row r="11" spans="1:12" x14ac:dyDescent="0.2">
      <c r="A11">
        <v>3</v>
      </c>
      <c r="B11" s="5">
        <f t="shared" si="2"/>
        <v>6</v>
      </c>
      <c r="C11" s="1">
        <v>1300</v>
      </c>
      <c r="D11">
        <v>0.5</v>
      </c>
      <c r="E11" s="37">
        <f t="shared" si="0"/>
        <v>3.9</v>
      </c>
      <c r="F11" s="1">
        <v>1.25</v>
      </c>
      <c r="G11" s="35">
        <f t="shared" si="1"/>
        <v>4800000</v>
      </c>
      <c r="H11" s="35">
        <v>900</v>
      </c>
      <c r="I11" s="37">
        <f t="shared" si="3"/>
        <v>4.32</v>
      </c>
      <c r="J11" s="1">
        <v>0</v>
      </c>
      <c r="L11">
        <f t="shared" si="4"/>
        <v>8.2200000000000006</v>
      </c>
    </row>
    <row r="12" spans="1:12" x14ac:dyDescent="0.2">
      <c r="A12">
        <v>3.5</v>
      </c>
      <c r="B12" s="5">
        <f t="shared" si="2"/>
        <v>7</v>
      </c>
      <c r="C12" s="1">
        <v>1300</v>
      </c>
      <c r="D12">
        <v>0.5</v>
      </c>
      <c r="E12" s="37">
        <f t="shared" si="0"/>
        <v>4.55</v>
      </c>
      <c r="F12" s="1">
        <v>1.25</v>
      </c>
      <c r="G12" s="35">
        <f t="shared" si="1"/>
        <v>5600000</v>
      </c>
      <c r="H12" s="35">
        <v>900</v>
      </c>
      <c r="I12" s="37">
        <f t="shared" si="3"/>
        <v>5.04</v>
      </c>
      <c r="J12" s="1">
        <v>0</v>
      </c>
      <c r="L12">
        <f t="shared" si="4"/>
        <v>9.59</v>
      </c>
    </row>
    <row r="13" spans="1:12" x14ac:dyDescent="0.2">
      <c r="A13">
        <v>4</v>
      </c>
      <c r="B13" s="5">
        <f t="shared" si="2"/>
        <v>8</v>
      </c>
      <c r="C13" s="1">
        <v>1200</v>
      </c>
      <c r="D13">
        <v>0.4</v>
      </c>
      <c r="E13" s="37">
        <f t="shared" si="0"/>
        <v>3.84</v>
      </c>
      <c r="F13" s="1">
        <v>1.4</v>
      </c>
      <c r="G13" s="35">
        <f t="shared" si="1"/>
        <v>5714285.7142857146</v>
      </c>
      <c r="H13" s="35">
        <v>800</v>
      </c>
      <c r="I13" s="37">
        <f t="shared" si="3"/>
        <v>4.5714285714285721</v>
      </c>
      <c r="J13" s="1">
        <v>1</v>
      </c>
      <c r="K13" s="39">
        <f>$K$2*J13*I5</f>
        <v>0</v>
      </c>
      <c r="L13">
        <f t="shared" si="4"/>
        <v>8.4114285714285728</v>
      </c>
    </row>
    <row r="14" spans="1:12" x14ac:dyDescent="0.2">
      <c r="A14">
        <v>4.5</v>
      </c>
      <c r="B14" s="5">
        <f t="shared" si="2"/>
        <v>9</v>
      </c>
      <c r="C14" s="1">
        <v>1200</v>
      </c>
      <c r="D14">
        <v>0.4</v>
      </c>
      <c r="E14" s="37">
        <f t="shared" si="0"/>
        <v>4.32</v>
      </c>
      <c r="F14" s="1">
        <v>1.4</v>
      </c>
      <c r="G14" s="35">
        <f t="shared" si="1"/>
        <v>6428571.4285714291</v>
      </c>
      <c r="H14" s="35">
        <v>800</v>
      </c>
      <c r="I14" s="37">
        <f t="shared" si="3"/>
        <v>5.1428571428571432</v>
      </c>
      <c r="J14" s="1">
        <v>1</v>
      </c>
      <c r="K14" s="39">
        <f t="shared" ref="K14:K45" si="5">$K$2*J14*I6</f>
        <v>0.432</v>
      </c>
      <c r="L14">
        <f t="shared" si="4"/>
        <v>9.894857142857143</v>
      </c>
    </row>
    <row r="15" spans="1:12" x14ac:dyDescent="0.2">
      <c r="A15">
        <v>5</v>
      </c>
      <c r="B15" s="5">
        <f t="shared" si="2"/>
        <v>10</v>
      </c>
      <c r="C15" s="1">
        <v>1200</v>
      </c>
      <c r="D15">
        <v>0.4</v>
      </c>
      <c r="E15" s="37">
        <f t="shared" si="0"/>
        <v>4.8</v>
      </c>
      <c r="F15" s="1">
        <v>1.4</v>
      </c>
      <c r="G15" s="35">
        <f t="shared" si="1"/>
        <v>7142857.1428571437</v>
      </c>
      <c r="H15" s="35">
        <v>800</v>
      </c>
      <c r="I15" s="37">
        <f t="shared" si="3"/>
        <v>5.7142857142857153</v>
      </c>
      <c r="J15" s="1">
        <v>1</v>
      </c>
      <c r="K15" s="39">
        <f t="shared" si="5"/>
        <v>0.86399999999999999</v>
      </c>
      <c r="L15">
        <f t="shared" si="4"/>
        <v>11.378285714285717</v>
      </c>
    </row>
    <row r="16" spans="1:12" x14ac:dyDescent="0.2">
      <c r="A16">
        <v>5.5</v>
      </c>
      <c r="B16" s="5">
        <f t="shared" si="2"/>
        <v>11</v>
      </c>
      <c r="C16" s="1">
        <v>1200</v>
      </c>
      <c r="D16">
        <v>0.4</v>
      </c>
      <c r="E16" s="37">
        <f t="shared" si="0"/>
        <v>5.28</v>
      </c>
      <c r="F16" s="1">
        <v>1.4</v>
      </c>
      <c r="G16" s="35">
        <f t="shared" si="1"/>
        <v>7857142.8571428573</v>
      </c>
      <c r="H16" s="35">
        <v>800</v>
      </c>
      <c r="I16" s="37">
        <f t="shared" si="3"/>
        <v>6.2857142857142856</v>
      </c>
      <c r="J16" s="1">
        <v>1</v>
      </c>
      <c r="K16" s="39">
        <f t="shared" si="5"/>
        <v>1.296</v>
      </c>
      <c r="L16">
        <f t="shared" si="4"/>
        <v>12.861714285714285</v>
      </c>
    </row>
    <row r="17" spans="1:12" x14ac:dyDescent="0.2">
      <c r="A17">
        <v>6</v>
      </c>
      <c r="B17" s="5">
        <f t="shared" si="2"/>
        <v>12</v>
      </c>
      <c r="C17" s="1">
        <v>1200</v>
      </c>
      <c r="D17">
        <v>0.4</v>
      </c>
      <c r="E17" s="37">
        <f t="shared" si="0"/>
        <v>5.76</v>
      </c>
      <c r="F17" s="1">
        <v>1.4</v>
      </c>
      <c r="G17" s="35">
        <f t="shared" si="1"/>
        <v>8571428.5714285728</v>
      </c>
      <c r="H17" s="35">
        <v>800</v>
      </c>
      <c r="I17" s="37">
        <f t="shared" si="3"/>
        <v>6.8571428571428585</v>
      </c>
      <c r="J17" s="1">
        <v>1</v>
      </c>
      <c r="K17" s="39">
        <f t="shared" si="5"/>
        <v>1.728</v>
      </c>
      <c r="L17">
        <f t="shared" si="4"/>
        <v>14.345142857142859</v>
      </c>
    </row>
    <row r="18" spans="1:12" x14ac:dyDescent="0.2">
      <c r="A18">
        <v>6.5</v>
      </c>
      <c r="B18" s="5">
        <f t="shared" si="2"/>
        <v>13</v>
      </c>
      <c r="C18" s="1">
        <v>1200</v>
      </c>
      <c r="D18">
        <v>0.4</v>
      </c>
      <c r="E18" s="37">
        <f t="shared" si="0"/>
        <v>6.24</v>
      </c>
      <c r="F18" s="1">
        <v>1.4</v>
      </c>
      <c r="G18" s="35">
        <f t="shared" si="1"/>
        <v>9285714.2857142854</v>
      </c>
      <c r="H18" s="35">
        <v>800</v>
      </c>
      <c r="I18" s="37">
        <f t="shared" si="3"/>
        <v>7.4285714285714279</v>
      </c>
      <c r="J18" s="1">
        <v>1</v>
      </c>
      <c r="K18" s="39">
        <f t="shared" si="5"/>
        <v>2.16</v>
      </c>
      <c r="L18">
        <f t="shared" si="4"/>
        <v>15.828571428571429</v>
      </c>
    </row>
    <row r="19" spans="1:12" x14ac:dyDescent="0.2">
      <c r="A19">
        <v>7</v>
      </c>
      <c r="B19" s="5">
        <f t="shared" si="2"/>
        <v>14</v>
      </c>
      <c r="C19" s="1">
        <v>1200</v>
      </c>
      <c r="D19">
        <v>0.4</v>
      </c>
      <c r="E19" s="37">
        <f t="shared" si="0"/>
        <v>6.72</v>
      </c>
      <c r="F19" s="1">
        <v>1.4</v>
      </c>
      <c r="G19" s="35">
        <f t="shared" si="1"/>
        <v>10000000</v>
      </c>
      <c r="H19" s="35">
        <v>800</v>
      </c>
      <c r="I19" s="37">
        <f t="shared" si="3"/>
        <v>8</v>
      </c>
      <c r="J19" s="1">
        <v>1</v>
      </c>
      <c r="K19" s="39">
        <f t="shared" si="5"/>
        <v>2.5920000000000001</v>
      </c>
      <c r="L19">
        <f t="shared" si="4"/>
        <v>17.311999999999998</v>
      </c>
    </row>
    <row r="20" spans="1:12" x14ac:dyDescent="0.2">
      <c r="A20">
        <v>7.5</v>
      </c>
      <c r="B20" s="5">
        <f t="shared" si="2"/>
        <v>15</v>
      </c>
      <c r="C20" s="1">
        <v>1200</v>
      </c>
      <c r="D20">
        <v>0.4</v>
      </c>
      <c r="E20" s="37">
        <f t="shared" si="0"/>
        <v>7.2</v>
      </c>
      <c r="F20" s="1">
        <v>1.4</v>
      </c>
      <c r="G20" s="35">
        <f t="shared" si="1"/>
        <v>10714285.714285715</v>
      </c>
      <c r="H20" s="35">
        <v>800</v>
      </c>
      <c r="I20" s="37">
        <f t="shared" si="3"/>
        <v>8.5714285714285712</v>
      </c>
      <c r="J20" s="1">
        <v>1</v>
      </c>
      <c r="K20" s="39">
        <f t="shared" si="5"/>
        <v>3.024</v>
      </c>
      <c r="L20">
        <f t="shared" si="4"/>
        <v>18.795428571428573</v>
      </c>
    </row>
    <row r="21" spans="1:12" x14ac:dyDescent="0.2">
      <c r="A21">
        <v>8</v>
      </c>
      <c r="B21" s="5">
        <f t="shared" si="2"/>
        <v>16</v>
      </c>
      <c r="C21" s="1">
        <v>1100</v>
      </c>
      <c r="D21">
        <v>0.3</v>
      </c>
      <c r="E21" s="37">
        <f t="shared" si="0"/>
        <v>5.28</v>
      </c>
      <c r="F21" s="1">
        <v>1.6</v>
      </c>
      <c r="G21" s="35">
        <f t="shared" si="1"/>
        <v>10000000</v>
      </c>
      <c r="H21" s="35">
        <v>700</v>
      </c>
      <c r="I21" s="37">
        <f t="shared" si="3"/>
        <v>7</v>
      </c>
      <c r="J21" s="1">
        <v>1.2</v>
      </c>
      <c r="K21" s="39">
        <f>$K$2*J21*I13</f>
        <v>3.2914285714285718</v>
      </c>
      <c r="L21">
        <f t="shared" si="4"/>
        <v>15.571428571428573</v>
      </c>
    </row>
    <row r="22" spans="1:12" x14ac:dyDescent="0.2">
      <c r="A22">
        <v>8.5</v>
      </c>
      <c r="B22" s="5">
        <f t="shared" si="2"/>
        <v>17</v>
      </c>
      <c r="C22" s="1">
        <v>1100</v>
      </c>
      <c r="D22">
        <v>0.3</v>
      </c>
      <c r="E22" s="37">
        <f t="shared" si="0"/>
        <v>5.61</v>
      </c>
      <c r="F22" s="1">
        <v>1.6</v>
      </c>
      <c r="G22" s="35">
        <f t="shared" si="1"/>
        <v>10625000</v>
      </c>
      <c r="H22" s="35">
        <v>700</v>
      </c>
      <c r="I22" s="37">
        <f t="shared" si="3"/>
        <v>7.4375</v>
      </c>
      <c r="J22" s="1">
        <v>1.2</v>
      </c>
      <c r="K22" s="39">
        <f>$K$2*J22*I14</f>
        <v>3.7028571428571428</v>
      </c>
      <c r="L22">
        <f t="shared" si="4"/>
        <v>16.750357142857141</v>
      </c>
    </row>
    <row r="23" spans="1:12" x14ac:dyDescent="0.2">
      <c r="A23">
        <v>9</v>
      </c>
      <c r="B23" s="5">
        <f t="shared" si="2"/>
        <v>18</v>
      </c>
      <c r="C23" s="1">
        <v>1100</v>
      </c>
      <c r="D23">
        <v>0.3</v>
      </c>
      <c r="E23" s="37">
        <f t="shared" si="0"/>
        <v>5.94</v>
      </c>
      <c r="F23" s="1">
        <v>1.6</v>
      </c>
      <c r="G23" s="35">
        <f t="shared" si="1"/>
        <v>11250000</v>
      </c>
      <c r="H23" s="35">
        <v>700</v>
      </c>
      <c r="I23" s="37">
        <f t="shared" si="3"/>
        <v>7.875</v>
      </c>
      <c r="J23" s="1">
        <v>1.2</v>
      </c>
      <c r="K23" s="39">
        <f t="shared" si="5"/>
        <v>4.1142857142857148</v>
      </c>
      <c r="L23">
        <f t="shared" si="4"/>
        <v>17.929285714285715</v>
      </c>
    </row>
    <row r="24" spans="1:12" x14ac:dyDescent="0.2">
      <c r="A24">
        <v>9.5</v>
      </c>
      <c r="B24" s="5">
        <f t="shared" si="2"/>
        <v>19</v>
      </c>
      <c r="C24" s="1">
        <v>1100</v>
      </c>
      <c r="D24">
        <v>0.3</v>
      </c>
      <c r="E24" s="37">
        <f t="shared" si="0"/>
        <v>6.27</v>
      </c>
      <c r="F24" s="1">
        <v>1.6</v>
      </c>
      <c r="G24" s="35">
        <f t="shared" si="1"/>
        <v>11875000</v>
      </c>
      <c r="H24" s="35">
        <v>700</v>
      </c>
      <c r="I24" s="37">
        <f t="shared" si="3"/>
        <v>8.3125</v>
      </c>
      <c r="J24" s="1">
        <v>1.2</v>
      </c>
      <c r="K24" s="39">
        <f t="shared" si="5"/>
        <v>4.5257142857142858</v>
      </c>
      <c r="L24">
        <f t="shared" si="4"/>
        <v>19.108214285714286</v>
      </c>
    </row>
    <row r="25" spans="1:12" x14ac:dyDescent="0.2">
      <c r="A25">
        <v>10</v>
      </c>
      <c r="B25" s="5">
        <f t="shared" si="2"/>
        <v>20</v>
      </c>
      <c r="C25" s="1">
        <v>1100</v>
      </c>
      <c r="D25">
        <v>0.3</v>
      </c>
      <c r="E25" s="37">
        <f t="shared" si="0"/>
        <v>6.6</v>
      </c>
      <c r="F25" s="1">
        <v>1.6</v>
      </c>
      <c r="G25" s="35">
        <f t="shared" si="1"/>
        <v>12500000</v>
      </c>
      <c r="H25" s="35">
        <v>700</v>
      </c>
      <c r="I25" s="37">
        <f t="shared" si="3"/>
        <v>8.75</v>
      </c>
      <c r="J25" s="1">
        <v>1.2</v>
      </c>
      <c r="K25" s="39">
        <f t="shared" si="5"/>
        <v>4.9371428571428577</v>
      </c>
      <c r="L25">
        <f t="shared" si="4"/>
        <v>20.287142857142857</v>
      </c>
    </row>
    <row r="26" spans="1:12" x14ac:dyDescent="0.2">
      <c r="A26">
        <v>10.5</v>
      </c>
      <c r="B26" s="5">
        <f t="shared" si="2"/>
        <v>21</v>
      </c>
      <c r="C26" s="1">
        <v>1100</v>
      </c>
      <c r="D26">
        <v>0.3</v>
      </c>
      <c r="E26" s="37">
        <f t="shared" si="0"/>
        <v>6.93</v>
      </c>
      <c r="F26" s="1">
        <v>1.6</v>
      </c>
      <c r="G26" s="35">
        <f t="shared" si="1"/>
        <v>13125000</v>
      </c>
      <c r="H26" s="35">
        <v>700</v>
      </c>
      <c r="I26" s="37">
        <f t="shared" si="3"/>
        <v>9.1875</v>
      </c>
      <c r="J26" s="1">
        <v>1.2</v>
      </c>
      <c r="K26" s="39">
        <f t="shared" si="5"/>
        <v>5.3485714285714279</v>
      </c>
      <c r="L26">
        <f t="shared" si="4"/>
        <v>21.466071428571428</v>
      </c>
    </row>
    <row r="27" spans="1:12" x14ac:dyDescent="0.2">
      <c r="A27">
        <v>11</v>
      </c>
      <c r="B27" s="5">
        <f t="shared" si="2"/>
        <v>22</v>
      </c>
      <c r="C27" s="1">
        <v>1100</v>
      </c>
      <c r="D27">
        <v>0.3</v>
      </c>
      <c r="E27" s="37">
        <f t="shared" si="0"/>
        <v>7.26</v>
      </c>
      <c r="F27" s="1">
        <v>1.6</v>
      </c>
      <c r="G27" s="35">
        <f t="shared" si="1"/>
        <v>13750000</v>
      </c>
      <c r="H27" s="35">
        <v>700</v>
      </c>
      <c r="I27" s="37">
        <f t="shared" si="3"/>
        <v>9.625</v>
      </c>
      <c r="J27" s="1">
        <v>1.2</v>
      </c>
      <c r="K27" s="39">
        <f t="shared" si="5"/>
        <v>5.76</v>
      </c>
      <c r="L27">
        <f t="shared" si="4"/>
        <v>22.644999999999996</v>
      </c>
    </row>
    <row r="28" spans="1:12" x14ac:dyDescent="0.2">
      <c r="A28">
        <v>11.5</v>
      </c>
      <c r="B28" s="5">
        <f t="shared" si="2"/>
        <v>23</v>
      </c>
      <c r="C28" s="1">
        <v>1100</v>
      </c>
      <c r="D28">
        <v>0.3</v>
      </c>
      <c r="E28" s="37">
        <f t="shared" si="0"/>
        <v>7.59</v>
      </c>
      <c r="F28" s="1">
        <v>1.6</v>
      </c>
      <c r="G28" s="35">
        <f t="shared" si="1"/>
        <v>14375000</v>
      </c>
      <c r="H28" s="35">
        <v>700</v>
      </c>
      <c r="I28" s="37">
        <f t="shared" si="3"/>
        <v>10.0625</v>
      </c>
      <c r="J28" s="1">
        <v>1.2</v>
      </c>
      <c r="K28" s="39">
        <f t="shared" si="5"/>
        <v>6.1714285714285708</v>
      </c>
      <c r="L28">
        <f t="shared" si="4"/>
        <v>23.823928571428571</v>
      </c>
    </row>
    <row r="29" spans="1:12" x14ac:dyDescent="0.2">
      <c r="A29">
        <v>12</v>
      </c>
      <c r="B29" s="5">
        <f t="shared" si="2"/>
        <v>24</v>
      </c>
      <c r="C29" s="1">
        <v>1100</v>
      </c>
      <c r="D29">
        <v>0.2</v>
      </c>
      <c r="E29" s="37">
        <f t="shared" si="0"/>
        <v>5.28</v>
      </c>
      <c r="F29" s="1">
        <v>1.8</v>
      </c>
      <c r="G29" s="35">
        <f t="shared" si="1"/>
        <v>13333333.333333332</v>
      </c>
      <c r="H29" s="35">
        <v>700</v>
      </c>
      <c r="I29" s="37">
        <f t="shared" si="3"/>
        <v>9.3333333333333321</v>
      </c>
      <c r="J29" s="1">
        <v>2</v>
      </c>
      <c r="K29" s="39">
        <f t="shared" si="5"/>
        <v>8.4</v>
      </c>
      <c r="L29">
        <f t="shared" si="4"/>
        <v>23.013333333333335</v>
      </c>
    </row>
    <row r="30" spans="1:12" x14ac:dyDescent="0.2">
      <c r="A30">
        <v>12.5</v>
      </c>
      <c r="B30" s="5">
        <f t="shared" si="2"/>
        <v>25</v>
      </c>
      <c r="C30" s="1">
        <v>1000</v>
      </c>
      <c r="D30">
        <v>0.2</v>
      </c>
      <c r="E30" s="37">
        <f t="shared" si="0"/>
        <v>5</v>
      </c>
      <c r="F30" s="1">
        <v>1.8</v>
      </c>
      <c r="G30" s="35">
        <f t="shared" si="1"/>
        <v>13888888.888888888</v>
      </c>
      <c r="H30" s="35">
        <v>700</v>
      </c>
      <c r="I30" s="37">
        <f t="shared" si="3"/>
        <v>9.7222222222222214</v>
      </c>
      <c r="J30" s="1">
        <v>2</v>
      </c>
      <c r="K30" s="39">
        <f t="shared" si="5"/>
        <v>8.9249999999999989</v>
      </c>
      <c r="L30">
        <f t="shared" si="4"/>
        <v>23.647222222222219</v>
      </c>
    </row>
    <row r="31" spans="1:12" x14ac:dyDescent="0.2">
      <c r="A31">
        <v>13</v>
      </c>
      <c r="B31" s="5">
        <f t="shared" si="2"/>
        <v>26</v>
      </c>
      <c r="C31" s="1">
        <v>1000</v>
      </c>
      <c r="D31">
        <v>0.2</v>
      </c>
      <c r="E31" s="37">
        <f t="shared" si="0"/>
        <v>5.2</v>
      </c>
      <c r="F31" s="1">
        <v>1.8</v>
      </c>
      <c r="G31" s="35">
        <f t="shared" si="1"/>
        <v>14444444.444444444</v>
      </c>
      <c r="H31" s="35">
        <v>700</v>
      </c>
      <c r="I31" s="37">
        <f t="shared" si="3"/>
        <v>10.111111111111111</v>
      </c>
      <c r="J31" s="1">
        <v>2</v>
      </c>
      <c r="K31" s="39">
        <f t="shared" si="5"/>
        <v>9.4499999999999993</v>
      </c>
      <c r="L31">
        <f t="shared" si="4"/>
        <v>24.761111111111109</v>
      </c>
    </row>
    <row r="32" spans="1:12" x14ac:dyDescent="0.2">
      <c r="A32">
        <v>13.5</v>
      </c>
      <c r="B32" s="5">
        <f t="shared" si="2"/>
        <v>27</v>
      </c>
      <c r="C32" s="1">
        <v>1000</v>
      </c>
      <c r="D32">
        <v>0.2</v>
      </c>
      <c r="E32" s="37">
        <f t="shared" si="0"/>
        <v>5.4</v>
      </c>
      <c r="F32" s="1">
        <v>1.8</v>
      </c>
      <c r="G32" s="35">
        <f t="shared" si="1"/>
        <v>15000000</v>
      </c>
      <c r="H32" s="35">
        <v>700</v>
      </c>
      <c r="I32" s="37">
        <f t="shared" si="3"/>
        <v>10.5</v>
      </c>
      <c r="J32" s="1">
        <v>2</v>
      </c>
      <c r="K32" s="39">
        <f t="shared" si="5"/>
        <v>9.9749999999999996</v>
      </c>
      <c r="L32">
        <f t="shared" si="4"/>
        <v>25.875</v>
      </c>
    </row>
    <row r="33" spans="1:12" x14ac:dyDescent="0.2">
      <c r="A33">
        <v>14</v>
      </c>
      <c r="B33" s="5">
        <f t="shared" si="2"/>
        <v>28</v>
      </c>
      <c r="C33" s="1">
        <v>1000</v>
      </c>
      <c r="D33">
        <v>0.2</v>
      </c>
      <c r="E33" s="37">
        <f t="shared" si="0"/>
        <v>5.6</v>
      </c>
      <c r="F33" s="1">
        <v>1.8</v>
      </c>
      <c r="G33" s="35">
        <f t="shared" si="1"/>
        <v>15555555.555555556</v>
      </c>
      <c r="H33" s="35">
        <v>600</v>
      </c>
      <c r="I33" s="37">
        <f>G33*H33/1000000000</f>
        <v>9.3333333333333339</v>
      </c>
      <c r="J33" s="1">
        <v>2</v>
      </c>
      <c r="K33" s="39">
        <f t="shared" si="5"/>
        <v>10.5</v>
      </c>
      <c r="L33">
        <f t="shared" si="4"/>
        <v>25.433333333333334</v>
      </c>
    </row>
    <row r="34" spans="1:12" x14ac:dyDescent="0.2">
      <c r="A34">
        <v>14.5</v>
      </c>
      <c r="B34" s="5">
        <f t="shared" si="2"/>
        <v>29</v>
      </c>
      <c r="C34" s="1">
        <v>1000</v>
      </c>
      <c r="D34">
        <v>0.2</v>
      </c>
      <c r="E34" s="37">
        <f t="shared" si="0"/>
        <v>5.8</v>
      </c>
      <c r="F34" s="1">
        <v>1.8</v>
      </c>
      <c r="G34" s="35">
        <f t="shared" si="1"/>
        <v>16111111.11111111</v>
      </c>
      <c r="H34" s="35">
        <v>600</v>
      </c>
      <c r="I34" s="37">
        <f t="shared" si="3"/>
        <v>9.6666666666666661</v>
      </c>
      <c r="J34" s="1">
        <v>2</v>
      </c>
      <c r="K34" s="39">
        <f t="shared" si="5"/>
        <v>11.025</v>
      </c>
      <c r="L34">
        <f t="shared" si="4"/>
        <v>26.491666666666667</v>
      </c>
    </row>
    <row r="35" spans="1:12" x14ac:dyDescent="0.2">
      <c r="A35">
        <v>15</v>
      </c>
      <c r="B35" s="5">
        <f t="shared" si="2"/>
        <v>30</v>
      </c>
      <c r="C35" s="1">
        <v>1000</v>
      </c>
      <c r="D35">
        <v>0.2</v>
      </c>
      <c r="E35" s="37">
        <f t="shared" si="0"/>
        <v>6</v>
      </c>
      <c r="F35" s="1">
        <v>1.8</v>
      </c>
      <c r="G35" s="35">
        <f t="shared" si="1"/>
        <v>16666666.666666666</v>
      </c>
      <c r="H35" s="35">
        <v>600</v>
      </c>
      <c r="I35" s="37">
        <f t="shared" si="3"/>
        <v>10</v>
      </c>
      <c r="J35" s="1">
        <v>2</v>
      </c>
      <c r="K35" s="39">
        <f t="shared" si="5"/>
        <v>11.549999999999999</v>
      </c>
      <c r="L35">
        <f t="shared" si="4"/>
        <v>27.549999999999997</v>
      </c>
    </row>
    <row r="36" spans="1:12" x14ac:dyDescent="0.2">
      <c r="A36">
        <v>15.5</v>
      </c>
      <c r="B36" s="5">
        <f t="shared" si="2"/>
        <v>31</v>
      </c>
      <c r="C36" s="1">
        <v>1000</v>
      </c>
      <c r="D36">
        <v>0.2</v>
      </c>
      <c r="E36" s="37">
        <f t="shared" si="0"/>
        <v>6.2</v>
      </c>
      <c r="F36" s="1">
        <v>1.8</v>
      </c>
      <c r="G36" s="35">
        <f t="shared" si="1"/>
        <v>17222222.22222222</v>
      </c>
      <c r="H36" s="35">
        <v>600</v>
      </c>
      <c r="I36" s="37">
        <f t="shared" si="3"/>
        <v>10.333333333333332</v>
      </c>
      <c r="J36" s="1">
        <v>2</v>
      </c>
      <c r="K36" s="39">
        <f t="shared" si="5"/>
        <v>12.074999999999999</v>
      </c>
      <c r="L36">
        <f t="shared" si="4"/>
        <v>28.608333333333331</v>
      </c>
    </row>
    <row r="37" spans="1:12" x14ac:dyDescent="0.2">
      <c r="A37">
        <v>16</v>
      </c>
      <c r="B37" s="5">
        <f t="shared" si="2"/>
        <v>32</v>
      </c>
      <c r="C37" s="1">
        <v>1000</v>
      </c>
      <c r="D37">
        <v>0.1</v>
      </c>
      <c r="E37" s="37">
        <f t="shared" si="0"/>
        <v>3.2</v>
      </c>
      <c r="F37" s="1">
        <v>2</v>
      </c>
      <c r="G37" s="35">
        <f t="shared" si="1"/>
        <v>16000000</v>
      </c>
      <c r="H37" s="35">
        <v>600</v>
      </c>
      <c r="I37" s="37">
        <f t="shared" si="3"/>
        <v>9.6</v>
      </c>
      <c r="J37" s="1">
        <v>2.6</v>
      </c>
      <c r="K37" s="39">
        <f t="shared" si="5"/>
        <v>14.559999999999999</v>
      </c>
      <c r="L37">
        <f t="shared" si="4"/>
        <v>27.36</v>
      </c>
    </row>
    <row r="38" spans="1:12" x14ac:dyDescent="0.2">
      <c r="A38">
        <v>16.5</v>
      </c>
      <c r="B38" s="5">
        <f t="shared" si="2"/>
        <v>33</v>
      </c>
      <c r="C38" s="1">
        <v>900</v>
      </c>
      <c r="D38">
        <v>0.1</v>
      </c>
      <c r="E38" s="37">
        <f t="shared" si="0"/>
        <v>2.97</v>
      </c>
      <c r="F38" s="1">
        <v>2</v>
      </c>
      <c r="G38" s="35">
        <f t="shared" si="1"/>
        <v>16500000</v>
      </c>
      <c r="H38" s="35">
        <v>600</v>
      </c>
      <c r="I38" s="37">
        <f t="shared" si="3"/>
        <v>9.9</v>
      </c>
      <c r="J38" s="1">
        <v>2.6</v>
      </c>
      <c r="K38" s="39">
        <f t="shared" si="5"/>
        <v>15.166666666666666</v>
      </c>
      <c r="L38">
        <f t="shared" si="4"/>
        <v>28.036666666666669</v>
      </c>
    </row>
    <row r="39" spans="1:12" x14ac:dyDescent="0.2">
      <c r="A39">
        <v>17</v>
      </c>
      <c r="B39" s="5">
        <f t="shared" si="2"/>
        <v>34</v>
      </c>
      <c r="C39" s="1">
        <v>900</v>
      </c>
      <c r="D39">
        <v>0.1</v>
      </c>
      <c r="E39" s="37">
        <f t="shared" si="0"/>
        <v>3.06</v>
      </c>
      <c r="F39" s="1">
        <v>2</v>
      </c>
      <c r="G39" s="35">
        <f t="shared" si="1"/>
        <v>17000000</v>
      </c>
      <c r="H39" s="35">
        <v>600</v>
      </c>
      <c r="I39" s="37">
        <f t="shared" si="3"/>
        <v>10.199999999999999</v>
      </c>
      <c r="J39" s="1">
        <v>2.6</v>
      </c>
      <c r="K39" s="39">
        <f t="shared" si="5"/>
        <v>15.773333333333333</v>
      </c>
      <c r="L39">
        <f t="shared" si="4"/>
        <v>29.033333333333331</v>
      </c>
    </row>
    <row r="40" spans="1:12" x14ac:dyDescent="0.2">
      <c r="A40">
        <v>17.5</v>
      </c>
      <c r="B40" s="5">
        <f t="shared" si="2"/>
        <v>35</v>
      </c>
      <c r="C40" s="1">
        <v>900</v>
      </c>
      <c r="D40">
        <v>0.1</v>
      </c>
      <c r="E40" s="37">
        <f t="shared" si="0"/>
        <v>3.15</v>
      </c>
      <c r="F40" s="1">
        <v>2</v>
      </c>
      <c r="G40" s="35">
        <f t="shared" si="1"/>
        <v>17500000</v>
      </c>
      <c r="H40" s="35">
        <v>600</v>
      </c>
      <c r="I40" s="37">
        <f t="shared" si="3"/>
        <v>10.5</v>
      </c>
      <c r="J40" s="1">
        <v>2.6</v>
      </c>
      <c r="K40" s="39">
        <f t="shared" si="5"/>
        <v>16.38</v>
      </c>
      <c r="L40">
        <f t="shared" si="4"/>
        <v>30.03</v>
      </c>
    </row>
    <row r="41" spans="1:12" x14ac:dyDescent="0.2">
      <c r="A41">
        <v>18</v>
      </c>
      <c r="B41" s="5">
        <f t="shared" si="2"/>
        <v>36</v>
      </c>
      <c r="C41" s="1">
        <v>900</v>
      </c>
      <c r="D41">
        <v>0.1</v>
      </c>
      <c r="E41" s="37">
        <f t="shared" si="0"/>
        <v>3.24</v>
      </c>
      <c r="F41" s="1">
        <v>2</v>
      </c>
      <c r="G41" s="35">
        <f t="shared" si="1"/>
        <v>18000000</v>
      </c>
      <c r="H41" s="35">
        <v>600</v>
      </c>
      <c r="I41" s="37">
        <f t="shared" si="3"/>
        <v>10.8</v>
      </c>
      <c r="J41" s="1">
        <v>2.6</v>
      </c>
      <c r="K41" s="39">
        <f t="shared" si="5"/>
        <v>14.560000000000002</v>
      </c>
      <c r="L41">
        <f t="shared" si="4"/>
        <v>28.6</v>
      </c>
    </row>
    <row r="42" spans="1:12" x14ac:dyDescent="0.2">
      <c r="A42">
        <v>18.5</v>
      </c>
      <c r="B42" s="5">
        <f t="shared" si="2"/>
        <v>37</v>
      </c>
      <c r="C42" s="1">
        <v>900</v>
      </c>
      <c r="D42">
        <v>0.1</v>
      </c>
      <c r="E42" s="37">
        <f t="shared" si="0"/>
        <v>3.33</v>
      </c>
      <c r="F42" s="1">
        <v>2</v>
      </c>
      <c r="G42" s="35">
        <f t="shared" si="1"/>
        <v>18500000</v>
      </c>
      <c r="H42" s="35">
        <v>600</v>
      </c>
      <c r="I42" s="37">
        <f t="shared" si="3"/>
        <v>11.1</v>
      </c>
      <c r="J42" s="1">
        <v>2.6</v>
      </c>
      <c r="K42" s="39">
        <f t="shared" si="5"/>
        <v>15.08</v>
      </c>
      <c r="L42">
        <f t="shared" si="4"/>
        <v>29.509999999999998</v>
      </c>
    </row>
    <row r="43" spans="1:12" x14ac:dyDescent="0.2">
      <c r="A43">
        <v>19</v>
      </c>
      <c r="B43" s="5">
        <f t="shared" si="2"/>
        <v>38</v>
      </c>
      <c r="C43" s="1">
        <v>900</v>
      </c>
      <c r="D43">
        <v>0.1</v>
      </c>
      <c r="E43" s="37">
        <f t="shared" si="0"/>
        <v>3.42</v>
      </c>
      <c r="F43" s="1">
        <v>2</v>
      </c>
      <c r="G43" s="35">
        <f t="shared" si="1"/>
        <v>19000000</v>
      </c>
      <c r="H43" s="35">
        <v>600</v>
      </c>
      <c r="I43" s="37">
        <f t="shared" si="3"/>
        <v>11.4</v>
      </c>
      <c r="J43" s="1">
        <v>2.6</v>
      </c>
      <c r="K43" s="39">
        <f t="shared" si="5"/>
        <v>15.600000000000001</v>
      </c>
      <c r="L43">
        <f t="shared" si="4"/>
        <v>30.42</v>
      </c>
    </row>
    <row r="44" spans="1:12" x14ac:dyDescent="0.2">
      <c r="A44">
        <v>19.5</v>
      </c>
      <c r="B44" s="5">
        <f t="shared" si="2"/>
        <v>39</v>
      </c>
      <c r="C44" s="1">
        <v>900</v>
      </c>
      <c r="D44">
        <v>0.1</v>
      </c>
      <c r="E44" s="37">
        <f t="shared" si="0"/>
        <v>3.51</v>
      </c>
      <c r="F44" s="1">
        <v>2</v>
      </c>
      <c r="G44" s="35">
        <f t="shared" si="1"/>
        <v>19500000</v>
      </c>
      <c r="H44" s="35">
        <v>600</v>
      </c>
      <c r="I44" s="37">
        <f t="shared" si="3"/>
        <v>11.7</v>
      </c>
      <c r="J44" s="1">
        <v>2.6</v>
      </c>
      <c r="K44" s="39">
        <f t="shared" si="5"/>
        <v>16.119999999999997</v>
      </c>
      <c r="L44">
        <f t="shared" si="4"/>
        <v>31.33</v>
      </c>
    </row>
    <row r="45" spans="1:12" x14ac:dyDescent="0.2">
      <c r="A45">
        <v>20</v>
      </c>
      <c r="B45" s="5">
        <f t="shared" si="2"/>
        <v>40</v>
      </c>
      <c r="C45" s="1">
        <v>900</v>
      </c>
      <c r="D45">
        <v>0.1</v>
      </c>
      <c r="E45" s="37">
        <f t="shared" si="0"/>
        <v>3.6</v>
      </c>
      <c r="F45" s="1">
        <v>2</v>
      </c>
      <c r="G45" s="35">
        <f t="shared" si="1"/>
        <v>20000000</v>
      </c>
      <c r="H45" s="35">
        <v>600</v>
      </c>
      <c r="I45" s="37">
        <f t="shared" si="3"/>
        <v>12</v>
      </c>
      <c r="J45" s="1">
        <v>2.6</v>
      </c>
      <c r="K45" s="39">
        <f t="shared" si="5"/>
        <v>14.975999999999999</v>
      </c>
      <c r="L45">
        <f t="shared" si="4"/>
        <v>30.576000000000001</v>
      </c>
    </row>
    <row r="47" spans="1:12" x14ac:dyDescent="0.2">
      <c r="B47" s="5">
        <f>SUM(B5:B45)</f>
        <v>820</v>
      </c>
      <c r="C47" s="1" t="s"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6601-6A73-0449-A97D-A5104302D913}">
  <dimension ref="A1:Q53"/>
  <sheetViews>
    <sheetView topLeftCell="A17" zoomScale="140" zoomScaleNormal="140" workbookViewId="0">
      <selection activeCell="B5" sqref="B5"/>
    </sheetView>
  </sheetViews>
  <sheetFormatPr baseColWidth="10" defaultRowHeight="16" x14ac:dyDescent="0.2"/>
  <cols>
    <col min="1" max="1" width="22" customWidth="1"/>
    <col min="2" max="2" width="13.1640625" customWidth="1"/>
    <col min="3" max="3" width="15.33203125" customWidth="1"/>
    <col min="4" max="4" width="15.1640625" customWidth="1"/>
    <col min="5" max="5" width="20.6640625" bestFit="1" customWidth="1"/>
    <col min="6" max="6" width="14.1640625" bestFit="1" customWidth="1"/>
    <col min="7" max="7" width="13.1640625" customWidth="1"/>
    <col min="8" max="8" width="19.6640625" style="67" customWidth="1"/>
    <col min="9" max="9" width="16.33203125" bestFit="1" customWidth="1"/>
    <col min="10" max="10" width="19.6640625" customWidth="1"/>
    <col min="11" max="11" width="22.33203125" customWidth="1"/>
    <col min="12" max="12" width="23.33203125" customWidth="1"/>
    <col min="13" max="13" width="27.6640625" customWidth="1"/>
    <col min="14" max="14" width="14.6640625" customWidth="1"/>
    <col min="15" max="15" width="13" bestFit="1" customWidth="1"/>
    <col min="18" max="18" width="15.33203125" bestFit="1" customWidth="1"/>
  </cols>
  <sheetData>
    <row r="1" spans="1:15" ht="17" x14ac:dyDescent="0.2">
      <c r="A1" s="15" t="s">
        <v>115</v>
      </c>
      <c r="H1" s="67" t="s">
        <v>116</v>
      </c>
      <c r="L1" s="1">
        <v>2</v>
      </c>
      <c r="M1" t="s">
        <v>125</v>
      </c>
    </row>
    <row r="2" spans="1:15" x14ac:dyDescent="0.2">
      <c r="A2" s="1">
        <v>20</v>
      </c>
      <c r="B2" t="s">
        <v>128</v>
      </c>
      <c r="H2" s="71">
        <v>1000</v>
      </c>
      <c r="I2" t="s">
        <v>117</v>
      </c>
      <c r="L2" s="70">
        <v>0.7</v>
      </c>
      <c r="M2" s="70">
        <v>0</v>
      </c>
    </row>
    <row r="3" spans="1:15" s="65" customFormat="1" ht="51" x14ac:dyDescent="0.2">
      <c r="A3" s="65" t="s">
        <v>74</v>
      </c>
      <c r="B3" s="65" t="s">
        <v>39</v>
      </c>
      <c r="C3" s="65" t="s">
        <v>85</v>
      </c>
      <c r="D3" s="65" t="s">
        <v>57</v>
      </c>
      <c r="E3" s="65" t="s">
        <v>61</v>
      </c>
      <c r="F3" s="65" t="s">
        <v>47</v>
      </c>
      <c r="G3" s="65" t="s">
        <v>50</v>
      </c>
      <c r="H3" s="68" t="s">
        <v>121</v>
      </c>
      <c r="I3" s="65" t="s">
        <v>122</v>
      </c>
      <c r="J3" s="65" t="s">
        <v>54</v>
      </c>
      <c r="K3" s="65" t="s">
        <v>54</v>
      </c>
      <c r="L3" s="68" t="s">
        <v>127</v>
      </c>
      <c r="M3" s="68" t="s">
        <v>124</v>
      </c>
      <c r="N3" s="65" t="s">
        <v>66</v>
      </c>
    </row>
    <row r="4" spans="1:15" s="66" customFormat="1" ht="17" x14ac:dyDescent="0.2">
      <c r="A4" s="66" t="s">
        <v>22</v>
      </c>
      <c r="B4" s="66" t="s">
        <v>40</v>
      </c>
      <c r="C4" s="119" t="s">
        <v>76</v>
      </c>
      <c r="D4" s="120"/>
      <c r="E4" s="66" t="s">
        <v>4</v>
      </c>
      <c r="F4" s="66" t="s">
        <v>24</v>
      </c>
      <c r="G4" s="66" t="s">
        <v>120</v>
      </c>
      <c r="H4" s="69" t="s">
        <v>110</v>
      </c>
      <c r="I4" s="66" t="s">
        <v>123</v>
      </c>
      <c r="J4" s="66" t="s">
        <v>16</v>
      </c>
      <c r="K4" s="66" t="s">
        <v>43</v>
      </c>
      <c r="L4" s="66" t="s">
        <v>43</v>
      </c>
      <c r="M4" s="66" t="s">
        <v>43</v>
      </c>
    </row>
    <row r="5" spans="1:15" x14ac:dyDescent="0.2">
      <c r="A5" s="45">
        <v>0</v>
      </c>
      <c r="B5" s="8">
        <v>1.4</v>
      </c>
      <c r="C5" s="39">
        <v>70</v>
      </c>
      <c r="D5" s="39">
        <v>1.83871068041664</v>
      </c>
      <c r="E5" s="59">
        <f>($A$2*B5/1000/1000*10000)/(D5/8000)</f>
        <v>1218.2449494949526</v>
      </c>
      <c r="F5" s="1">
        <v>0.2</v>
      </c>
      <c r="G5" s="30">
        <f>E5*F5</f>
        <v>243.64898989899052</v>
      </c>
      <c r="H5" s="67">
        <f>$H$2/D5</f>
        <v>543.85935245310395</v>
      </c>
      <c r="I5" s="1">
        <v>500</v>
      </c>
      <c r="J5">
        <f>H5*I5</f>
        <v>271929.67622655199</v>
      </c>
      <c r="K5" s="30">
        <f>J5/$H$2</f>
        <v>271.92967622655198</v>
      </c>
      <c r="L5" s="30">
        <v>0</v>
      </c>
      <c r="M5" s="30">
        <f>$M$2*K5</f>
        <v>0</v>
      </c>
      <c r="N5" s="30">
        <f>G5+K5+L5+M5</f>
        <v>515.57866612554244</v>
      </c>
    </row>
    <row r="6" spans="1:15" x14ac:dyDescent="0.2">
      <c r="A6" s="45">
        <v>5</v>
      </c>
      <c r="B6" s="8">
        <f>B5-0.05</f>
        <v>1.3499999999999999</v>
      </c>
      <c r="C6" s="39">
        <v>75</v>
      </c>
      <c r="D6" s="39">
        <v>1.9700471575892624</v>
      </c>
      <c r="E6" s="59">
        <f t="shared" ref="E6:E9" si="0">($A$2*B6/1000/1000*10000)/(D6/8000)</f>
        <v>1096.4204545454545</v>
      </c>
      <c r="F6" s="1">
        <v>0.15</v>
      </c>
      <c r="G6" s="30">
        <f t="shared" ref="G6:G9" si="1">E6*F6</f>
        <v>164.46306818181816</v>
      </c>
      <c r="H6" s="67">
        <f>$H$2/D6</f>
        <v>507.60206228956235</v>
      </c>
      <c r="I6" s="1">
        <v>450</v>
      </c>
      <c r="J6">
        <f t="shared" ref="J6:J9" si="2">H6*I6</f>
        <v>228420.92803030307</v>
      </c>
      <c r="K6" s="73">
        <f t="shared" ref="K6:K9" si="3">J6/$H$2</f>
        <v>228.42092803030306</v>
      </c>
      <c r="L6" s="30">
        <f>$L$1*$L$2*K5</f>
        <v>380.70154671717273</v>
      </c>
      <c r="M6" s="30">
        <f t="shared" ref="M6:M9" si="4">$M$2*K6</f>
        <v>0</v>
      </c>
      <c r="N6" s="30">
        <f>G6+L6+M6</f>
        <v>545.16461489899086</v>
      </c>
    </row>
    <row r="7" spans="1:15" x14ac:dyDescent="0.2">
      <c r="A7" s="45">
        <v>10</v>
      </c>
      <c r="B7" s="8">
        <f t="shared" ref="B7:B9" si="5">B6-0.05</f>
        <v>1.2999999999999998</v>
      </c>
      <c r="C7" s="39">
        <v>80</v>
      </c>
      <c r="D7" s="72">
        <v>2.1013836347618802</v>
      </c>
      <c r="E7" s="59">
        <f t="shared" si="0"/>
        <v>989.82402146464619</v>
      </c>
      <c r="F7" s="1">
        <v>0.1</v>
      </c>
      <c r="G7" s="30">
        <f t="shared" si="1"/>
        <v>98.982402146464622</v>
      </c>
      <c r="H7" s="67">
        <f>$H$2/D7</f>
        <v>475.87693339646461</v>
      </c>
      <c r="I7" s="1">
        <v>400</v>
      </c>
      <c r="J7">
        <f t="shared" si="2"/>
        <v>190350.77335858584</v>
      </c>
      <c r="K7" s="73">
        <f>J7/$H$2</f>
        <v>190.35077335858583</v>
      </c>
      <c r="L7" s="30">
        <f t="shared" ref="L7:L9" si="6">$L$1*$L$2*K6</f>
        <v>319.78929924242425</v>
      </c>
      <c r="M7" s="30">
        <f t="shared" si="4"/>
        <v>0</v>
      </c>
      <c r="N7" s="30">
        <f t="shared" ref="N7:N9" si="7">G7+L7+M7</f>
        <v>418.77170138888886</v>
      </c>
    </row>
    <row r="8" spans="1:15" x14ac:dyDescent="0.2">
      <c r="A8" s="45">
        <v>15</v>
      </c>
      <c r="B8" s="8">
        <f t="shared" si="5"/>
        <v>1.2499999999999998</v>
      </c>
      <c r="C8" s="39">
        <v>85</v>
      </c>
      <c r="D8" s="39">
        <v>2.2327201119344973</v>
      </c>
      <c r="E8" s="59">
        <f t="shared" si="0"/>
        <v>895.76834521687465</v>
      </c>
      <c r="F8" s="1">
        <v>0.05</v>
      </c>
      <c r="G8" s="30">
        <f t="shared" si="1"/>
        <v>44.788417260843737</v>
      </c>
      <c r="H8" s="67">
        <f>$H$2/D8</f>
        <v>447.88417260843738</v>
      </c>
      <c r="I8" s="1">
        <v>350</v>
      </c>
      <c r="J8">
        <f t="shared" si="2"/>
        <v>156759.46041295308</v>
      </c>
      <c r="K8" s="73">
        <f t="shared" si="3"/>
        <v>156.75946041295308</v>
      </c>
      <c r="L8" s="30">
        <f t="shared" si="6"/>
        <v>266.49108270202015</v>
      </c>
      <c r="M8" s="30">
        <f t="shared" si="4"/>
        <v>0</v>
      </c>
      <c r="N8" s="30">
        <f t="shared" si="7"/>
        <v>311.27949996286389</v>
      </c>
    </row>
    <row r="9" spans="1:15" x14ac:dyDescent="0.2">
      <c r="A9" s="45">
        <v>20</v>
      </c>
      <c r="B9" s="8">
        <f t="shared" si="5"/>
        <v>1.1999999999999997</v>
      </c>
      <c r="C9" s="39">
        <v>90</v>
      </c>
      <c r="D9" s="39">
        <v>2.3640565891071148</v>
      </c>
      <c r="E9" s="59">
        <f t="shared" si="0"/>
        <v>812.16329966329954</v>
      </c>
      <c r="F9" s="1">
        <v>0.01</v>
      </c>
      <c r="G9" s="30">
        <f t="shared" si="1"/>
        <v>8.1216329966329948</v>
      </c>
      <c r="H9" s="67">
        <f>$H$2/D9</f>
        <v>423.00171857463528</v>
      </c>
      <c r="I9" s="1">
        <v>300</v>
      </c>
      <c r="J9">
        <f t="shared" si="2"/>
        <v>126900.51557239058</v>
      </c>
      <c r="K9" s="73">
        <f t="shared" si="3"/>
        <v>126.90051557239057</v>
      </c>
      <c r="L9" s="30">
        <f t="shared" si="6"/>
        <v>219.46324457813429</v>
      </c>
      <c r="M9" s="30">
        <f t="shared" si="4"/>
        <v>0</v>
      </c>
      <c r="N9" s="30">
        <f t="shared" si="7"/>
        <v>227.58487757476729</v>
      </c>
    </row>
    <row r="13" spans="1:15" x14ac:dyDescent="0.2">
      <c r="A13" s="27" t="s">
        <v>141</v>
      </c>
      <c r="G13" s="27"/>
      <c r="K13" s="27"/>
      <c r="L13" s="27"/>
      <c r="M13" s="27"/>
      <c r="N13" s="30">
        <f>SUM(N6:N9)</f>
        <v>1502.8006938255107</v>
      </c>
      <c r="O13" s="30" t="s">
        <v>43</v>
      </c>
    </row>
    <row r="19" spans="1:17" ht="17" x14ac:dyDescent="0.2">
      <c r="A19" s="15" t="s">
        <v>115</v>
      </c>
      <c r="H19" s="67" t="s">
        <v>116</v>
      </c>
      <c r="L19" s="1">
        <v>4</v>
      </c>
      <c r="M19" t="s">
        <v>125</v>
      </c>
    </row>
    <row r="20" spans="1:17" x14ac:dyDescent="0.2">
      <c r="A20" s="1">
        <v>50</v>
      </c>
      <c r="B20" t="s">
        <v>128</v>
      </c>
      <c r="H20" s="71">
        <v>1000</v>
      </c>
      <c r="I20" t="s">
        <v>117</v>
      </c>
      <c r="L20" s="70">
        <v>0.7</v>
      </c>
      <c r="M20" s="70">
        <v>0.25</v>
      </c>
    </row>
    <row r="21" spans="1:17" ht="51" x14ac:dyDescent="0.2">
      <c r="A21" s="65" t="s">
        <v>74</v>
      </c>
      <c r="B21" s="65" t="s">
        <v>39</v>
      </c>
      <c r="C21" s="65" t="s">
        <v>85</v>
      </c>
      <c r="D21" s="65" t="s">
        <v>57</v>
      </c>
      <c r="E21" s="65" t="s">
        <v>61</v>
      </c>
      <c r="F21" s="65" t="s">
        <v>47</v>
      </c>
      <c r="G21" s="65" t="s">
        <v>50</v>
      </c>
      <c r="H21" s="68" t="s">
        <v>121</v>
      </c>
      <c r="I21" s="65" t="s">
        <v>122</v>
      </c>
      <c r="J21" s="65" t="s">
        <v>54</v>
      </c>
      <c r="K21" s="65" t="s">
        <v>54</v>
      </c>
      <c r="L21" s="68" t="s">
        <v>127</v>
      </c>
      <c r="M21" s="68" t="s">
        <v>124</v>
      </c>
      <c r="N21" s="65" t="s">
        <v>66</v>
      </c>
      <c r="O21" s="65"/>
      <c r="P21" s="65"/>
      <c r="Q21" s="60"/>
    </row>
    <row r="22" spans="1:17" ht="17" x14ac:dyDescent="0.2">
      <c r="A22" s="66" t="s">
        <v>22</v>
      </c>
      <c r="B22" s="66" t="s">
        <v>40</v>
      </c>
      <c r="C22" s="119" t="s">
        <v>76</v>
      </c>
      <c r="D22" s="120"/>
      <c r="E22" s="66" t="s">
        <v>4</v>
      </c>
      <c r="F22" s="66" t="s">
        <v>24</v>
      </c>
      <c r="G22" s="66" t="s">
        <v>120</v>
      </c>
      <c r="H22" s="69" t="s">
        <v>110</v>
      </c>
      <c r="I22" s="66" t="s">
        <v>123</v>
      </c>
      <c r="J22" s="66" t="s">
        <v>16</v>
      </c>
      <c r="K22" s="66" t="s">
        <v>43</v>
      </c>
      <c r="L22" s="66" t="s">
        <v>43</v>
      </c>
      <c r="M22" s="66" t="s">
        <v>43</v>
      </c>
      <c r="N22" s="66"/>
      <c r="O22" s="66"/>
      <c r="P22" s="66"/>
      <c r="Q22" s="61"/>
    </row>
    <row r="23" spans="1:17" x14ac:dyDescent="0.2">
      <c r="A23" s="45">
        <v>0</v>
      </c>
      <c r="B23" s="8">
        <v>1.9</v>
      </c>
      <c r="C23" s="39">
        <v>70</v>
      </c>
      <c r="D23" s="39">
        <v>4.5967767010416134</v>
      </c>
      <c r="E23" s="59">
        <f>($A$20*B23/1000/1000*10000)/(D23/8000)</f>
        <v>1653.3324314574313</v>
      </c>
      <c r="F23" s="1">
        <v>0.2</v>
      </c>
      <c r="G23" s="30">
        <f>E23*F23</f>
        <v>330.66648629148631</v>
      </c>
      <c r="H23" s="67">
        <f>$H$20/D23</f>
        <v>217.54374098124094</v>
      </c>
      <c r="I23" s="1">
        <v>500</v>
      </c>
      <c r="J23">
        <f>H23*I23</f>
        <v>108771.87049062047</v>
      </c>
      <c r="K23" s="30">
        <f>J23/$H$2</f>
        <v>108.77187049062047</v>
      </c>
      <c r="L23" s="30">
        <v>0</v>
      </c>
      <c r="M23" s="30">
        <f>$M$20*K23</f>
        <v>27.192967622655118</v>
      </c>
      <c r="N23" s="30">
        <f>G23+K23+L23+M23</f>
        <v>466.63132440476193</v>
      </c>
    </row>
    <row r="24" spans="1:17" x14ac:dyDescent="0.2">
      <c r="A24" s="45">
        <v>5</v>
      </c>
      <c r="B24" s="8">
        <f>B23-0.05</f>
        <v>1.8499999999999999</v>
      </c>
      <c r="C24" s="39">
        <v>75</v>
      </c>
      <c r="D24" s="39">
        <v>4.9251178939731561</v>
      </c>
      <c r="E24" s="59">
        <f t="shared" ref="E24:E27" si="8">($A$20*B24/1000/1000*10000)/(D24/8000)</f>
        <v>1502.5021043771042</v>
      </c>
      <c r="F24" s="1">
        <v>0.15</v>
      </c>
      <c r="G24" s="30">
        <f t="shared" ref="G24:G27" si="9">E24*F24</f>
        <v>225.37531565656562</v>
      </c>
      <c r="H24" s="67">
        <f t="shared" ref="H24:H27" si="10">$H$20/D24</f>
        <v>203.04082491582494</v>
      </c>
      <c r="I24" s="1">
        <v>450</v>
      </c>
      <c r="J24">
        <f t="shared" ref="J24:J27" si="11">H24*I24</f>
        <v>91368.37121212123</v>
      </c>
      <c r="K24" s="73">
        <f>J24/$H$2</f>
        <v>91.368371212121232</v>
      </c>
      <c r="L24" s="30">
        <f>$L$19*$L$20*K23</f>
        <v>304.5612373737373</v>
      </c>
      <c r="M24" s="30">
        <f>$L$19*$L$2*J13</f>
        <v>0</v>
      </c>
      <c r="N24" s="30">
        <f>G24+L24</f>
        <v>529.93655303030289</v>
      </c>
    </row>
    <row r="25" spans="1:17" x14ac:dyDescent="0.2">
      <c r="A25" s="45">
        <v>10</v>
      </c>
      <c r="B25" s="8">
        <f t="shared" ref="B25:B27" si="12">B24-0.05</f>
        <v>1.7999999999999998</v>
      </c>
      <c r="C25" s="39">
        <v>80</v>
      </c>
      <c r="D25" s="72">
        <v>5.2534590869046998</v>
      </c>
      <c r="E25" s="59">
        <f t="shared" si="8"/>
        <v>1370.525568181818</v>
      </c>
      <c r="F25" s="1">
        <v>0.1</v>
      </c>
      <c r="G25" s="30">
        <f t="shared" si="9"/>
        <v>137.05255681818181</v>
      </c>
      <c r="H25" s="67">
        <f t="shared" si="10"/>
        <v>190.35077335858588</v>
      </c>
      <c r="I25" s="1">
        <v>400</v>
      </c>
      <c r="J25">
        <f>H25*I25</f>
        <v>76140.309343434346</v>
      </c>
      <c r="K25" s="73">
        <f t="shared" ref="K25:K27" si="13">J25/$H$2</f>
        <v>76.140309343434353</v>
      </c>
      <c r="L25" s="30">
        <f t="shared" ref="L25:L27" si="14">$L$19*$L$20*K24</f>
        <v>255.83143939393943</v>
      </c>
      <c r="M25" s="30">
        <f>$L$19*$L$2*J14</f>
        <v>0</v>
      </c>
      <c r="N25" s="30">
        <f t="shared" ref="N25:N27" si="15">G25+L25</f>
        <v>392.88399621212125</v>
      </c>
    </row>
    <row r="26" spans="1:17" x14ac:dyDescent="0.2">
      <c r="A26" s="45">
        <v>15</v>
      </c>
      <c r="B26" s="8">
        <f t="shared" si="12"/>
        <v>1.7499999999999998</v>
      </c>
      <c r="C26" s="39">
        <v>85</v>
      </c>
      <c r="D26" s="39">
        <v>5.5818002798362443</v>
      </c>
      <c r="E26" s="59">
        <f t="shared" si="8"/>
        <v>1254.0756833036244</v>
      </c>
      <c r="F26" s="1">
        <v>0.05</v>
      </c>
      <c r="G26" s="30">
        <f t="shared" si="9"/>
        <v>62.703784165181219</v>
      </c>
      <c r="H26" s="67">
        <f>$H$20/D26</f>
        <v>179.15366904337492</v>
      </c>
      <c r="I26" s="1">
        <v>350</v>
      </c>
      <c r="J26">
        <f t="shared" si="11"/>
        <v>62703.78416518122</v>
      </c>
      <c r="K26" s="73">
        <f t="shared" si="13"/>
        <v>62.703784165181219</v>
      </c>
      <c r="L26" s="30">
        <f t="shared" si="14"/>
        <v>213.19286616161617</v>
      </c>
      <c r="M26" s="30">
        <f>$L$19*$L$2*J15</f>
        <v>0</v>
      </c>
      <c r="N26" s="30">
        <f t="shared" si="15"/>
        <v>275.89665032679738</v>
      </c>
    </row>
    <row r="27" spans="1:17" x14ac:dyDescent="0.2">
      <c r="A27" s="45">
        <v>20</v>
      </c>
      <c r="B27" s="8">
        <f t="shared" si="12"/>
        <v>1.6999999999999997</v>
      </c>
      <c r="C27" s="39">
        <v>90</v>
      </c>
      <c r="D27" s="39">
        <v>5.9101414727677879</v>
      </c>
      <c r="E27" s="59">
        <f t="shared" si="8"/>
        <v>1150.5646745230076</v>
      </c>
      <c r="F27" s="1">
        <v>0.01</v>
      </c>
      <c r="G27" s="30">
        <f t="shared" si="9"/>
        <v>11.505646745230077</v>
      </c>
      <c r="H27" s="67">
        <f t="shared" si="10"/>
        <v>169.2006874298541</v>
      </c>
      <c r="I27" s="1">
        <v>300</v>
      </c>
      <c r="J27">
        <f t="shared" si="11"/>
        <v>50760.206228956231</v>
      </c>
      <c r="K27" s="73">
        <f t="shared" si="13"/>
        <v>50.760206228956228</v>
      </c>
      <c r="L27" s="30">
        <f t="shared" si="14"/>
        <v>175.5705956625074</v>
      </c>
      <c r="M27" s="30">
        <f>$L$19*$L$2*J16</f>
        <v>0</v>
      </c>
      <c r="N27" s="30">
        <f t="shared" si="15"/>
        <v>187.07624240773748</v>
      </c>
    </row>
    <row r="31" spans="1:17" x14ac:dyDescent="0.2">
      <c r="A31" s="27" t="s">
        <v>142</v>
      </c>
      <c r="G31" s="27"/>
      <c r="K31" s="27"/>
      <c r="L31" s="27"/>
      <c r="M31" s="27"/>
      <c r="N31" s="30">
        <f>SUM(N24:N27)</f>
        <v>1385.793441976959</v>
      </c>
      <c r="O31" s="30" t="s">
        <v>43</v>
      </c>
    </row>
    <row r="33" spans="1:14" x14ac:dyDescent="0.2">
      <c r="A33" t="s">
        <v>129</v>
      </c>
    </row>
    <row r="34" spans="1:14" ht="17" x14ac:dyDescent="0.2">
      <c r="A34" s="15" t="s">
        <v>115</v>
      </c>
      <c r="H34" s="67" t="s">
        <v>116</v>
      </c>
      <c r="L34" s="1">
        <v>2</v>
      </c>
      <c r="M34" t="s">
        <v>125</v>
      </c>
    </row>
    <row r="35" spans="1:14" x14ac:dyDescent="0.2">
      <c r="A35" s="1">
        <v>50</v>
      </c>
      <c r="B35" t="s">
        <v>128</v>
      </c>
      <c r="H35" s="71">
        <v>1000</v>
      </c>
      <c r="I35" t="s">
        <v>117</v>
      </c>
      <c r="L35" s="70">
        <v>0.7</v>
      </c>
      <c r="M35" s="74">
        <v>0.8</v>
      </c>
    </row>
    <row r="36" spans="1:14" ht="51" x14ac:dyDescent="0.2">
      <c r="A36" s="65" t="s">
        <v>74</v>
      </c>
      <c r="B36" s="65" t="s">
        <v>39</v>
      </c>
      <c r="C36" s="65" t="s">
        <v>85</v>
      </c>
      <c r="D36" s="65" t="s">
        <v>57</v>
      </c>
      <c r="E36" s="65" t="s">
        <v>61</v>
      </c>
      <c r="F36" s="65" t="s">
        <v>47</v>
      </c>
      <c r="G36" s="65" t="s">
        <v>50</v>
      </c>
      <c r="H36" s="68" t="s">
        <v>121</v>
      </c>
      <c r="I36" s="65" t="s">
        <v>122</v>
      </c>
      <c r="J36" s="65" t="s">
        <v>54</v>
      </c>
      <c r="K36" s="65" t="s">
        <v>54</v>
      </c>
      <c r="L36" s="68" t="s">
        <v>127</v>
      </c>
      <c r="M36" s="68" t="s">
        <v>130</v>
      </c>
      <c r="N36" s="65" t="s">
        <v>131</v>
      </c>
    </row>
    <row r="37" spans="1:14" ht="17" x14ac:dyDescent="0.2">
      <c r="A37" s="66" t="s">
        <v>22</v>
      </c>
      <c r="B37" s="66" t="s">
        <v>40</v>
      </c>
      <c r="C37" s="119" t="s">
        <v>76</v>
      </c>
      <c r="D37" s="120"/>
      <c r="E37" s="66" t="s">
        <v>4</v>
      </c>
      <c r="F37" s="66" t="s">
        <v>24</v>
      </c>
      <c r="G37" s="66" t="s">
        <v>120</v>
      </c>
      <c r="H37" s="69" t="s">
        <v>110</v>
      </c>
      <c r="I37" s="66" t="s">
        <v>123</v>
      </c>
      <c r="J37" s="66" t="s">
        <v>16</v>
      </c>
      <c r="K37" s="66" t="s">
        <v>43</v>
      </c>
      <c r="L37" s="66" t="s">
        <v>43</v>
      </c>
      <c r="M37" s="66" t="s">
        <v>43</v>
      </c>
      <c r="N37" s="66" t="s">
        <v>43</v>
      </c>
    </row>
    <row r="38" spans="1:14" x14ac:dyDescent="0.2">
      <c r="A38" s="45">
        <v>0</v>
      </c>
      <c r="B38" s="8">
        <v>2.35</v>
      </c>
      <c r="C38" s="39">
        <v>70</v>
      </c>
      <c r="D38" s="39">
        <v>4.5967767010416134</v>
      </c>
      <c r="E38" s="59">
        <f>($A$35*B38/1000/1000*10000)/(D38/8000)</f>
        <v>2044.9111652236652</v>
      </c>
      <c r="F38" s="1">
        <v>0.2</v>
      </c>
      <c r="G38" s="30">
        <f>E38*F38</f>
        <v>408.98223304473305</v>
      </c>
      <c r="H38" s="67">
        <f>$H$20/D38</f>
        <v>217.54374098124094</v>
      </c>
      <c r="I38" s="1">
        <v>250</v>
      </c>
      <c r="J38">
        <f>H38*I38</f>
        <v>54385.935245310233</v>
      </c>
      <c r="K38" s="30">
        <f>J38/$H$2</f>
        <v>54.385935245310236</v>
      </c>
      <c r="L38" s="30">
        <v>0</v>
      </c>
      <c r="M38" s="30">
        <f>$M$35*K38</f>
        <v>43.508748196248192</v>
      </c>
      <c r="N38" s="30">
        <f>G38+K38+L38+M38</f>
        <v>506.87691648629146</v>
      </c>
    </row>
    <row r="39" spans="1:14" x14ac:dyDescent="0.2">
      <c r="A39" s="45">
        <v>5</v>
      </c>
      <c r="B39" s="8">
        <f>B38-0.05</f>
        <v>2.3000000000000003</v>
      </c>
      <c r="C39" s="39">
        <v>75</v>
      </c>
      <c r="D39" s="39">
        <v>4.9251178939731561</v>
      </c>
      <c r="E39" s="59">
        <f t="shared" ref="E39:E41" si="16">($A$20*B39/1000/1000*10000)/(D39/8000)</f>
        <v>1867.9755892255894</v>
      </c>
      <c r="F39" s="1">
        <v>0.2</v>
      </c>
      <c r="G39" s="30">
        <f t="shared" ref="G39:G41" si="17">E39*F39</f>
        <v>373.5951178451179</v>
      </c>
      <c r="H39" s="67">
        <f t="shared" ref="H39:H40" si="18">$H$20/D39</f>
        <v>203.04082491582494</v>
      </c>
      <c r="I39" s="1">
        <v>200</v>
      </c>
      <c r="J39">
        <f t="shared" ref="J39" si="19">H39*I39</f>
        <v>40608.164983164985</v>
      </c>
      <c r="K39" s="73">
        <f>J39/$H$2</f>
        <v>40.608164983164983</v>
      </c>
      <c r="L39" s="30">
        <f>$L$34*$L$35*K38</f>
        <v>76.140309343434325</v>
      </c>
      <c r="M39" s="30">
        <f>$L$19*$L$2*J28</f>
        <v>0</v>
      </c>
      <c r="N39" s="30">
        <f>G39+L39</f>
        <v>449.73542718855219</v>
      </c>
    </row>
    <row r="40" spans="1:14" x14ac:dyDescent="0.2">
      <c r="A40" s="45">
        <v>10</v>
      </c>
      <c r="B40" s="8">
        <f t="shared" ref="B40:B42" si="20">B39-0.05</f>
        <v>2.2500000000000004</v>
      </c>
      <c r="C40" s="39">
        <v>80</v>
      </c>
      <c r="D40" s="72">
        <v>5.2534590869046998</v>
      </c>
      <c r="E40" s="59">
        <f t="shared" si="16"/>
        <v>1713.1569602272732</v>
      </c>
      <c r="F40" s="1">
        <v>0.15</v>
      </c>
      <c r="G40" s="30">
        <f t="shared" si="17"/>
        <v>256.97354403409099</v>
      </c>
      <c r="H40" s="67">
        <f t="shared" si="18"/>
        <v>190.35077335858588</v>
      </c>
      <c r="I40" s="1">
        <v>150</v>
      </c>
      <c r="J40">
        <f>H40*I40</f>
        <v>28552.616003787884</v>
      </c>
      <c r="K40" s="73">
        <f t="shared" ref="K40:K42" si="21">J40/$H$2</f>
        <v>28.552616003787882</v>
      </c>
      <c r="L40" s="30">
        <f>$L$34*$L$35*K39</f>
        <v>56.851430976430969</v>
      </c>
      <c r="M40" s="30">
        <f>$L$19*$L$2*J29</f>
        <v>0</v>
      </c>
      <c r="N40" s="30">
        <f t="shared" ref="N40:N42" si="22">G40+L40</f>
        <v>313.82497501052194</v>
      </c>
    </row>
    <row r="41" spans="1:14" x14ac:dyDescent="0.2">
      <c r="A41" s="45">
        <v>15</v>
      </c>
      <c r="B41" s="8">
        <f t="shared" si="20"/>
        <v>2.2000000000000006</v>
      </c>
      <c r="C41" s="39">
        <v>85</v>
      </c>
      <c r="D41" s="39">
        <v>5.5818002798362443</v>
      </c>
      <c r="E41" s="59">
        <f t="shared" si="16"/>
        <v>1576.5522875816998</v>
      </c>
      <c r="F41" s="1">
        <v>0.15</v>
      </c>
      <c r="G41" s="30">
        <f t="shared" si="17"/>
        <v>236.48284313725497</v>
      </c>
      <c r="H41" s="67">
        <f>$H$20/D41</f>
        <v>179.15366904337492</v>
      </c>
      <c r="I41" s="1">
        <v>150</v>
      </c>
      <c r="J41">
        <f t="shared" ref="J41:J42" si="23">H41*I41</f>
        <v>26873.050356506239</v>
      </c>
      <c r="K41" s="73">
        <f t="shared" si="21"/>
        <v>26.873050356506241</v>
      </c>
      <c r="L41" s="30">
        <f t="shared" ref="L41:L42" si="24">$L$34*$L$35*K40</f>
        <v>39.973662405303031</v>
      </c>
      <c r="M41" s="30">
        <f>$L$19*$L$2*J30</f>
        <v>0</v>
      </c>
      <c r="N41" s="30">
        <f t="shared" si="22"/>
        <v>276.45650554255803</v>
      </c>
    </row>
    <row r="42" spans="1:14" x14ac:dyDescent="0.2">
      <c r="A42" s="45">
        <v>20</v>
      </c>
      <c r="B42" s="8">
        <f t="shared" si="20"/>
        <v>2.1500000000000008</v>
      </c>
      <c r="C42" s="39">
        <v>90</v>
      </c>
      <c r="D42" s="39">
        <v>5.9101414727677879</v>
      </c>
      <c r="E42" s="59">
        <f>($A$20*B42/1000/1000*10000)/(D42/8000)</f>
        <v>1455.1259118967457</v>
      </c>
      <c r="F42" s="1">
        <v>0.1</v>
      </c>
      <c r="G42" s="30">
        <f>E42*F42</f>
        <v>145.51259118967457</v>
      </c>
      <c r="H42" s="67">
        <f t="shared" ref="H42" si="25">$H$20/D42</f>
        <v>169.2006874298541</v>
      </c>
      <c r="I42" s="1">
        <v>150</v>
      </c>
      <c r="J42">
        <f t="shared" si="23"/>
        <v>25380.103114478115</v>
      </c>
      <c r="K42" s="73">
        <f t="shared" si="21"/>
        <v>25.380103114478114</v>
      </c>
      <c r="L42" s="30">
        <f t="shared" si="24"/>
        <v>37.622270499108737</v>
      </c>
      <c r="M42" s="30">
        <f>$L$19*$L$2*J31</f>
        <v>0</v>
      </c>
      <c r="N42" s="30">
        <f t="shared" si="22"/>
        <v>183.1348616887833</v>
      </c>
    </row>
    <row r="51" spans="5:9" x14ac:dyDescent="0.2">
      <c r="E51" s="113"/>
    </row>
    <row r="53" spans="5:9" ht="241" customHeight="1" x14ac:dyDescent="0.2">
      <c r="E53" s="118" t="s">
        <v>226</v>
      </c>
      <c r="F53" s="118"/>
      <c r="G53" s="118"/>
      <c r="H53" s="118"/>
      <c r="I53" s="118"/>
    </row>
  </sheetData>
  <mergeCells count="4">
    <mergeCell ref="C4:D4"/>
    <mergeCell ref="C22:D22"/>
    <mergeCell ref="C37:D37"/>
    <mergeCell ref="E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ED cost</vt:lpstr>
      <vt:lpstr>boundaries</vt:lpstr>
      <vt:lpstr>Learning curve - A</vt:lpstr>
      <vt:lpstr>Learning curve -B</vt:lpstr>
      <vt:lpstr>Fig. 3 &amp; 5 </vt:lpstr>
      <vt:lpstr>Figure 4</vt:lpstr>
      <vt:lpstr>Fig 2C</vt:lpstr>
      <vt:lpstr>A - scenario QTI</vt:lpstr>
      <vt:lpstr>Figure 6</vt:lpstr>
      <vt:lpstr>BPM_Plotdigitizer_Weber RSC pap</vt:lpstr>
      <vt:lpstr>BPMED_2comp_celldesign_BPM-AEM</vt:lpstr>
      <vt:lpstr>References</vt:lpstr>
      <vt:lpstr>Learning curve -B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Tiller</dc:creator>
  <cp:lastModifiedBy>Zarko Jovanov</cp:lastModifiedBy>
  <dcterms:created xsi:type="dcterms:W3CDTF">2024-06-18T11:38:30Z</dcterms:created>
  <dcterms:modified xsi:type="dcterms:W3CDTF">2025-03-09T15:35:28Z</dcterms:modified>
</cp:coreProperties>
</file>